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ius\dp$\Expedientes\ARCHIVO GENERAL\ARCHI GEN\ARCHIVO GRAL\AUTORIZACIONES\FACTURACIÓN\2024\"/>
    </mc:Choice>
  </mc:AlternateContent>
  <xr:revisionPtr revIDLastSave="0" documentId="8_{029D6726-B92E-4C94-BD90-93B77786B9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_FilterDatabase" localSheetId="1" hidden="1">Hoja2!#REF!</definedName>
    <definedName name="_Hlk162271255" localSheetId="0">Hoja1!$C$50</definedName>
    <definedName name="_xlnm.Print_Area" localSheetId="0">Hoja1!$A$1:$X$85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0" i="1" l="1"/>
  <c r="S80" i="1"/>
  <c r="U30" i="1"/>
  <c r="S24" i="1"/>
  <c r="U24" i="1" s="1"/>
  <c r="L20" i="2"/>
  <c r="U3" i="1"/>
  <c r="O84" i="1"/>
  <c r="U84" i="1" s="1"/>
  <c r="R34" i="1"/>
  <c r="O79" i="1" l="1"/>
  <c r="O76" i="1"/>
  <c r="O75" i="1"/>
  <c r="G20" i="2"/>
  <c r="F20" i="2"/>
  <c r="R73" i="1" s="1"/>
  <c r="U73" i="1" s="1"/>
  <c r="E20" i="2"/>
  <c r="S71" i="1"/>
  <c r="U71" i="1" s="1"/>
  <c r="D20" i="2"/>
  <c r="U69" i="1"/>
  <c r="I67" i="1" l="1"/>
  <c r="I66" i="1"/>
  <c r="O66" i="1" s="1"/>
  <c r="U63" i="1"/>
  <c r="S60" i="1"/>
  <c r="U60" i="1" s="1"/>
  <c r="R20" i="2"/>
  <c r="Q20" i="2"/>
  <c r="R60" i="1" s="1"/>
  <c r="U66" i="1" l="1"/>
  <c r="S66" i="1"/>
  <c r="P20" i="2"/>
  <c r="O55" i="1" s="1"/>
  <c r="S55" i="1"/>
  <c r="O20" i="2"/>
  <c r="R55" i="1" s="1"/>
  <c r="N20" i="2"/>
  <c r="U54" i="1" l="1"/>
  <c r="U53" i="1"/>
  <c r="K51" i="1" l="1"/>
  <c r="I50" i="1"/>
  <c r="O50" i="1" s="1"/>
  <c r="O49" i="1"/>
  <c r="M20" i="2"/>
  <c r="U48" i="1"/>
  <c r="U46" i="1"/>
  <c r="I36" i="1"/>
  <c r="O36" i="1" s="1"/>
  <c r="I35" i="1"/>
  <c r="O35" i="1" s="1"/>
  <c r="I45" i="1"/>
  <c r="O45" i="1" s="1"/>
  <c r="U39" i="1"/>
  <c r="I40" i="1"/>
  <c r="I39" i="1"/>
  <c r="R71" i="1"/>
  <c r="O39" i="1" l="1"/>
  <c r="I37" i="1"/>
  <c r="O37" i="1" s="1"/>
  <c r="U34" i="1"/>
  <c r="I28" i="1" l="1"/>
  <c r="O28" i="1" s="1"/>
  <c r="U22" i="1"/>
  <c r="K20" i="2"/>
  <c r="J20" i="2"/>
  <c r="U20" i="1"/>
  <c r="R20" i="1"/>
  <c r="U19" i="1"/>
  <c r="U11" i="1"/>
  <c r="I20" i="2"/>
  <c r="I17" i="1"/>
  <c r="O17" i="1" s="1"/>
  <c r="M11" i="1"/>
  <c r="I12" i="1"/>
  <c r="I11" i="1"/>
  <c r="O11" i="1" l="1"/>
  <c r="I8" i="1"/>
  <c r="O8" i="1" s="1"/>
  <c r="U2" i="1" l="1"/>
  <c r="I2" i="1"/>
  <c r="O2" i="1" s="1"/>
  <c r="J77" i="1"/>
  <c r="O77" i="1" s="1"/>
  <c r="I70" i="1"/>
  <c r="O70" i="1" s="1"/>
  <c r="I15" i="1"/>
  <c r="O15" i="1" s="1"/>
  <c r="I68" i="1"/>
  <c r="O68" i="1" s="1"/>
  <c r="I14" i="1"/>
  <c r="O14" i="1" s="1"/>
  <c r="I25" i="1"/>
  <c r="O25" i="1" s="1"/>
  <c r="I19" i="1"/>
  <c r="O19" i="1" s="1"/>
  <c r="I52" i="1"/>
  <c r="K52" i="1"/>
  <c r="M31" i="1"/>
  <c r="J31" i="1"/>
  <c r="I31" i="1"/>
  <c r="I62" i="1"/>
  <c r="I49" i="1"/>
  <c r="I47" i="1"/>
  <c r="O47" i="1" s="1"/>
  <c r="I51" i="1"/>
  <c r="O51" i="1" s="1"/>
  <c r="M10" i="1"/>
  <c r="I10" i="1"/>
  <c r="I33" i="1"/>
  <c r="O33" i="1" s="1"/>
  <c r="U16" i="1"/>
  <c r="I16" i="1"/>
  <c r="O16" i="1" s="1"/>
  <c r="I34" i="1"/>
  <c r="O34" i="1" s="1"/>
  <c r="U29" i="1"/>
  <c r="U55" i="1"/>
  <c r="I24" i="1"/>
  <c r="O24" i="1" s="1"/>
  <c r="O62" i="1" l="1"/>
  <c r="U62" i="1" s="1"/>
  <c r="O10" i="1"/>
  <c r="O31" i="1"/>
  <c r="I32" i="1"/>
  <c r="O32" i="1" s="1"/>
  <c r="K71" i="1"/>
  <c r="S62" i="1" l="1"/>
  <c r="M9" i="1"/>
  <c r="I9" i="1"/>
  <c r="O9" i="1" l="1"/>
  <c r="S84" i="1" l="1"/>
  <c r="J78" i="1"/>
  <c r="I78" i="1"/>
  <c r="O78" i="1" s="1"/>
  <c r="I73" i="1"/>
  <c r="O73" i="1" s="1"/>
  <c r="I64" i="1"/>
  <c r="I65" i="1"/>
  <c r="O64" i="1" s="1"/>
  <c r="U64" i="1" s="1"/>
  <c r="I63" i="1"/>
  <c r="O63" i="1" s="1"/>
  <c r="J60" i="1" l="1"/>
  <c r="I61" i="1"/>
  <c r="I60" i="1"/>
  <c r="I59" i="1"/>
  <c r="O59" i="1" s="1"/>
  <c r="U59" i="1" s="1"/>
  <c r="U85" i="1" s="1"/>
  <c r="O60" i="1" l="1"/>
  <c r="S59" i="1"/>
  <c r="I55" i="1"/>
  <c r="I54" i="1" l="1"/>
  <c r="O54" i="1" s="1"/>
  <c r="I53" i="1"/>
  <c r="O53" i="1" s="1"/>
  <c r="I48" i="1"/>
  <c r="O48" i="1" s="1"/>
  <c r="I44" i="1" l="1"/>
  <c r="O44" i="1" s="1"/>
  <c r="I21" i="1"/>
  <c r="O21" i="1" s="1"/>
  <c r="I6" i="1"/>
  <c r="O6" i="1" s="1"/>
  <c r="I72" i="1"/>
  <c r="I71" i="1"/>
  <c r="L13" i="1"/>
  <c r="I46" i="1"/>
  <c r="O46" i="1" s="1"/>
  <c r="J43" i="1"/>
  <c r="I42" i="1"/>
  <c r="I80" i="1"/>
  <c r="O80" i="1" s="1"/>
  <c r="I23" i="1"/>
  <c r="I22" i="1"/>
  <c r="O42" i="1" l="1"/>
  <c r="O71" i="1"/>
  <c r="O22" i="1"/>
  <c r="I81" i="1"/>
  <c r="O81" i="1" s="1"/>
  <c r="I74" i="1" l="1"/>
  <c r="O74" i="1" s="1"/>
  <c r="K69" i="1"/>
  <c r="I69" i="1"/>
  <c r="O69" i="1" s="1"/>
  <c r="I56" i="1" l="1"/>
  <c r="O56" i="1" s="1"/>
  <c r="I41" i="1" l="1"/>
  <c r="O41" i="1" s="1"/>
  <c r="I26" i="1" l="1"/>
  <c r="O26" i="1" s="1"/>
  <c r="I18" i="1"/>
  <c r="O18" i="1" s="1"/>
  <c r="I4" i="1"/>
  <c r="O4" i="1" s="1"/>
  <c r="I3" i="1"/>
  <c r="O3" i="1" s="1"/>
  <c r="O85" i="1" s="1"/>
  <c r="V85" i="1" s="1"/>
  <c r="S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Myriam Gomez Alemañ</author>
  </authors>
  <commentList>
    <comment ref="K8" authorId="0" shapeId="0" xr:uid="{1AA33567-2EE2-4E8C-A96A-A32482A16356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Se ha facturado la superficie realmente ocupada</t>
        </r>
      </text>
    </comment>
    <comment ref="U8" authorId="0" shapeId="0" xr:uid="{04ECCD03-8E87-4475-B8BC-D25EF16D130F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Incrementada por instalar más casetas de las previstas en estudio eco.</t>
        </r>
      </text>
    </comment>
    <comment ref="I9" authorId="0" shapeId="0" xr:uid="{64B14435-D486-4617-A47D-107F22DE6986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Bonif 50%</t>
        </r>
      </text>
    </comment>
    <comment ref="I11" authorId="0" shapeId="0" xr:uid="{82670BFA-1AF2-4187-86D4-B71BE2B4A66D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Bonif 50%</t>
        </r>
      </text>
    </comment>
    <comment ref="M11" authorId="0" shapeId="0" xr:uid="{83321E7F-6773-4BD5-ACA3-5C98A38E93BD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Bonif 50%</t>
        </r>
      </text>
    </comment>
    <comment ref="I12" authorId="0" shapeId="0" xr:uid="{A979276E-401E-4A4E-9B25-159575F6C226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Bonif 50%</t>
        </r>
      </text>
    </comment>
    <comment ref="K18" authorId="0" shapeId="0" xr:uid="{5B46EBF2-F363-443D-B409-843F14FB2F90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Se aplica un 0,5 a 235 m2</t>
        </r>
      </text>
    </comment>
    <comment ref="J27" authorId="0" shapeId="0" xr:uid="{557A723B-E17A-44C2-AC73-355056F74BBA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A partir del 7/11 pasasa a 0,85</t>
        </r>
      </text>
    </comment>
    <comment ref="J29" authorId="0" shapeId="0" xr:uid="{8406460D-82C8-4384-9EB1-EF2CC4437D71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A partir del 7/11 pasasa a 0,85</t>
        </r>
      </text>
    </comment>
    <comment ref="S48" authorId="0" shapeId="0" xr:uid="{72C615E5-13C0-4DA7-8E55-0B55ACCB6F34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Cambia cada año</t>
        </r>
      </text>
    </comment>
    <comment ref="K51" authorId="0" shapeId="0" xr:uid="{101B22E4-FEDC-4017-9B90-854F50DD2E0C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A partir del 12 septiembre se incrementa la superficie en 73 m2 más</t>
        </r>
      </text>
    </comment>
    <comment ref="D55" authorId="0" shapeId="0" xr:uid="{473452DA-CB0A-4A37-974D-AAC942484425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Notificación 20/05/23</t>
        </r>
      </text>
    </comment>
    <comment ref="M55" authorId="0" shapeId="0" xr:uid="{10610270-33D1-4AE5-AFFC-C4B2F1A9A527}">
      <text>
        <r>
          <rPr>
            <b/>
            <sz val="9"/>
            <color indexed="81"/>
            <rFont val="Tahoma"/>
            <family val="2"/>
          </rPr>
          <t>Myriam Gomez Alemañ:</t>
        </r>
        <r>
          <rPr>
            <sz val="9"/>
            <color indexed="81"/>
            <rFont val="Tahoma"/>
            <family val="2"/>
          </rPr>
          <t xml:space="preserve">
Hasta  abril la T.O.O. es de 83.561,98, en abril pasa  a 111.415,98 y en octubre a 139.269,99</t>
        </r>
      </text>
    </comment>
    <comment ref="O58" authorId="0" shapeId="0" xr:uid="{E4F8840A-8568-42E2-9C6C-A8F62918580E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Exento 169,a)</t>
        </r>
      </text>
    </comment>
    <comment ref="U58" authorId="0" shapeId="0" xr:uid="{26F4FF0A-48C9-475D-BF3C-694D1F7E4DE9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Exento 170,a)</t>
        </r>
      </text>
    </comment>
    <comment ref="F63" authorId="0" shapeId="0" xr:uid="{38A28E18-B1DA-4B45-BB94-5FE1FBB48769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Renuncia del titular para el 1 de julio/2024</t>
        </r>
      </text>
    </comment>
    <comment ref="K71" authorId="0" shapeId="0" xr:uid="{F409E26E-AA57-4E87-BE3F-4F65E9936A38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Huella 0,5</t>
        </r>
      </text>
    </comment>
    <comment ref="F76" authorId="0" shapeId="0" xr:uid="{F9F0CE5C-3FBE-4A18-9E6B-155D722C9669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El pantalán se entrega a la APA el 10 de mayo</t>
        </r>
      </text>
    </comment>
    <comment ref="F78" authorId="0" shapeId="0" xr:uid="{7544ED06-A715-4D0C-BA64-F6508FBC9B34}">
      <text>
        <r>
          <rPr>
            <b/>
            <sz val="9"/>
            <color indexed="81"/>
            <rFont val="Tahoma"/>
            <charset val="1"/>
          </rPr>
          <t>Myriam Gomez Alemañ:</t>
        </r>
        <r>
          <rPr>
            <sz val="9"/>
            <color indexed="81"/>
            <rFont val="Tahoma"/>
            <charset val="1"/>
          </rPr>
          <t xml:space="preserve">
Rencia del titular en julio 2024</t>
        </r>
      </text>
    </comment>
  </commentList>
</comments>
</file>

<file path=xl/sharedStrings.xml><?xml version="1.0" encoding="utf-8"?>
<sst xmlns="http://schemas.openxmlformats.org/spreadsheetml/2006/main" count="881" uniqueCount="315">
  <si>
    <t>OBJETO</t>
  </si>
  <si>
    <t>FECHA INICIO</t>
  </si>
  <si>
    <t>DURACIÓN</t>
  </si>
  <si>
    <t>CUOTA TASA DE ACTIVIDAD</t>
  </si>
  <si>
    <t>CUOTA TASA DE OCUP. LÁMINA AGUA</t>
  </si>
  <si>
    <t>TITULAR AUTORIZACIÓN</t>
  </si>
  <si>
    <t>-</t>
  </si>
  <si>
    <t>0,250128 €/t</t>
  </si>
  <si>
    <t>TERMINAL RECONOCIMIENTOS ADUANEROS ALICANTE</t>
  </si>
  <si>
    <t>3 años</t>
  </si>
  <si>
    <t>2% VN</t>
  </si>
  <si>
    <t>Ocupación parcela en Poniente para aparcamiento de autobuses.</t>
  </si>
  <si>
    <t>20% Tasa Ocup.</t>
  </si>
  <si>
    <t>Exento artº 169.a) TRLPEMM</t>
  </si>
  <si>
    <t>Exento artº 170.a) TRLPEMM</t>
  </si>
  <si>
    <t>UNIDAD DE VIGILANCIA ADUANERA</t>
  </si>
  <si>
    <t>Instalación de dos contenedores en M-5 para almacenamiento de material de mantenimineto y reparación del patrullero de la Agencia Tributaria y su custodia.</t>
  </si>
  <si>
    <t>E.P.E. SOCIEDAD DE SALVAMENTO Y SEGURIDAD MARÍTIMA</t>
  </si>
  <si>
    <t>EXCURSIONES MARÍTIMAS BENIDORM, S.L.</t>
  </si>
  <si>
    <t>SUPERFICIE L. AGUA</t>
  </si>
  <si>
    <t>TASA OBRA</t>
  </si>
  <si>
    <t>LIQUIDADO OCUP.</t>
  </si>
  <si>
    <t>DECLARADO</t>
  </si>
  <si>
    <t>TASA ACTIVIDAD</t>
  </si>
  <si>
    <t>observaciones</t>
  </si>
  <si>
    <t>LIQUIDADO ACTIVIDAD</t>
  </si>
  <si>
    <t>REF.</t>
  </si>
  <si>
    <t>VENCIMIENTO MÁXIMO</t>
  </si>
  <si>
    <t>Instalación de una escala para el embarque y desembarque de pasajeros de la embarcaciones Sea World.</t>
  </si>
  <si>
    <t>FCC CONSTRUCCION, S.A.</t>
  </si>
  <si>
    <t>Periodicidad   (meses)</t>
  </si>
  <si>
    <t>Periodicidad   meses</t>
  </si>
  <si>
    <t>AYUNTAMIENTO DE ALICANTE</t>
  </si>
  <si>
    <t>Ocupación de los terrenos necesarios para el desarrollo del servicio de recogida de residuos oleosos procedentes de las sentinas de los buques en el Puerto de Alicante.</t>
  </si>
  <si>
    <t>SERTEGO SERVICIOS MEDIOAMBIENTALES, S.L.U.</t>
  </si>
  <si>
    <t>TERMINALES MARÍTIMAS DEL SURESTE, S.A.</t>
  </si>
  <si>
    <t>1 año prorrog anual hasta 3 años</t>
  </si>
  <si>
    <t xml:space="preserve">QLINARIA CATERING, S.L. </t>
  </si>
  <si>
    <t>Instalación de un pantalán flotante y la ocupación de una nave industrial en la Dársena Pesquera del Puerto de Alicante.</t>
  </si>
  <si>
    <t>ASOC. CULTURAL AMIGOS DEL PUERTO DE ALICANTE</t>
  </si>
  <si>
    <t>Ocupación y explotación de una superficie en el extremo NE del edificio que alberga las oficinas y museo de la regata Vuelta al Mundo a Vela, destinada a prestar servicios de hostelería.</t>
  </si>
  <si>
    <t>5% VN</t>
  </si>
  <si>
    <t>FOGUERA PORT D'ALACANT</t>
  </si>
  <si>
    <t>Ocupar una superficie de 340 m2 en la Zona de Poniente del Puerto de Alicante destinada a albergar la sede del racó de la Foguera Port D'Alacant.</t>
  </si>
  <si>
    <t>THE OCEAN RACE 1973, S.L.U.</t>
  </si>
  <si>
    <t>TASA  OCUPACIÓN</t>
  </si>
  <si>
    <t>No tiene que declarar</t>
  </si>
  <si>
    <t>Ocupar una parcela en el Muelle B de este puerto destinada a la instalación de dos módulos prefabricados y pantalán como punto de amarre de sus embarcaciones</t>
  </si>
  <si>
    <t>AYUNTAMIENTO DE ALICANTE. SPEIS</t>
  </si>
  <si>
    <t>205/2020</t>
  </si>
  <si>
    <t>1 año prorrog por años hasta máx. 3</t>
  </si>
  <si>
    <t>254/2020</t>
  </si>
  <si>
    <t>Ocupación de una superficie de terreno y lámina de agua coindante al martillo del M-19 destinada a la instalación del dique flotante "Mar de Enol".</t>
  </si>
  <si>
    <t>Ocupación de una superficie en el Muelle 10 destinada al aparcamiento de clientes.</t>
  </si>
  <si>
    <t>MARINA DEPORTIVA DEL PUERTO DE ALICANTE.</t>
  </si>
  <si>
    <t>ORANGE ESPAÑA Y COMUNICACIONES FIJAS S.L.</t>
  </si>
  <si>
    <t>Ocupación y explotación de la estación de autobuses en la zona de Poniente del puerto de Alicante.</t>
  </si>
  <si>
    <t>CLUB DEPORTIVO PUERTO DE ALICANTE</t>
  </si>
  <si>
    <t>CEMENTOS MOLINS, S.A.</t>
  </si>
  <si>
    <t>LEVANTE PORTSERVICE, S.L.</t>
  </si>
  <si>
    <t>CANTINA DEL PUERTO S.L.</t>
  </si>
  <si>
    <t>Contacto facturación</t>
  </si>
  <si>
    <t>Instalación de fibra óptica para dar servicio de telecomunicaciones al edificio de la sede de la Regata Vuelta al Mundo a Vela en el M-10 de este puerto.</t>
  </si>
  <si>
    <t>189/2021</t>
  </si>
  <si>
    <t>1 año prorrog por trim. Hasta 3 años</t>
  </si>
  <si>
    <t>Ocupación de la nave industrial situada en la parcela P-16 del Muelle 17 del puerto de Alicante para almacenamiento de mercancía general.</t>
  </si>
  <si>
    <t>andres.fernandez@alicante-ayto.es</t>
  </si>
  <si>
    <t>administracion@qlinaria.com                pablo@qlinaria.com</t>
  </si>
  <si>
    <t>AIRE NETWORKS DEL MEDITERRÁNEO S.L.</t>
  </si>
  <si>
    <t>Explotación de la planta baja del edificio “La Cantina del Puerto” destinado a la prestación de servicios complementarios de hostelería para los usuarios del puerto en la Zona de Poniente</t>
  </si>
  <si>
    <t>461/2021</t>
  </si>
  <si>
    <t>1 año prorrogable por años hasta máximo 3 años</t>
  </si>
  <si>
    <t>Ejercicio de actividad comercial consistente en explotar una instalación destinada al almacenamiento, ensacado y distribución de cemento en el Muelle 21 del puerto de Alicante</t>
  </si>
  <si>
    <t>99/2019</t>
  </si>
  <si>
    <t>52/2019</t>
  </si>
  <si>
    <t>Instalación de dos depósitos de combustible y aditivo junto al edificio del muelle 11</t>
  </si>
  <si>
    <t>441/2021</t>
  </si>
  <si>
    <t>Acondicionamiento de una superficie en el Muelle 19 de este puerto destinada a la instalación de un contenedor como pañol de sus embarcaciones</t>
  </si>
  <si>
    <t>MANDO DE OPERACIONES ESPECIALES EJÉRCITO DE TIERRA</t>
  </si>
  <si>
    <t>268/2021</t>
  </si>
  <si>
    <t>NAVICO MARINE ELECTRONICS,S.L.</t>
  </si>
  <si>
    <t>213/2021</t>
  </si>
  <si>
    <t>Acondicionamiento de una superficie de lámina de agua colindante al Muelle 3 de este Puerto para exposición y pruebas de electrónica naval</t>
  </si>
  <si>
    <t>1 año prorrogable año a año hasta máximo 3 años en total</t>
  </si>
  <si>
    <t>Instalación de fibra óptica para dar servicio de telecomunicaciones a la Casa del Mediterráneo</t>
  </si>
  <si>
    <t>215/2021</t>
  </si>
  <si>
    <t>1 año prorrogable por trimestres hasta máximo 3 años en total</t>
  </si>
  <si>
    <t>415/2021</t>
  </si>
  <si>
    <t>2 año prorrog anual hasta 3 años</t>
  </si>
  <si>
    <t>790/2020</t>
  </si>
  <si>
    <t>AYUNTAMIENTO DE ALICANTE Cultura</t>
  </si>
  <si>
    <t>VALOR TERRENO/AGUA</t>
  </si>
  <si>
    <t>Gravamen</t>
  </si>
  <si>
    <t>Contrato de cesión de uso TMS</t>
  </si>
  <si>
    <t>Ocupar una superficie de terreno y lámina de agua en la antigua Dársena Pesquera destinada al desarrollo de actividades náutico-deportivas, instalación de un pantalán flotante y contenedores para almacenamiento de material y vestuarios.</t>
  </si>
  <si>
    <t>3 meses prorrog por meses hasta 3 años</t>
  </si>
  <si>
    <t>20% T.O.</t>
  </si>
  <si>
    <t>1 año prorrog anual/ hasta 3 años</t>
  </si>
  <si>
    <t>1 año prorrogable anual/ hasta 3</t>
  </si>
  <si>
    <t>19-0206</t>
  </si>
  <si>
    <t>MEDITERRANEO TRABAJOS DEL MAR</t>
  </si>
  <si>
    <t>Instalación de tres módulos destinados a oficina y almacén para la realización de trabajos submarinos</t>
  </si>
  <si>
    <t>122/2022</t>
  </si>
  <si>
    <t>Ocupación de una superficie de 2.400 m2 en la Zona de Poniente del puerto de Alicante destinada a depóstio de contenedores con material de la Regata Vuelta al Mundo a Vela.</t>
  </si>
  <si>
    <t>Hasta 06/11/2022 prorrog por meses hasta 3 años</t>
  </si>
  <si>
    <t>SUPERFICIE TERRENOS</t>
  </si>
  <si>
    <t>1 año prorrog por semestres hasta máx. 3 años</t>
  </si>
  <si>
    <t>rlama@asesor-alicante.es</t>
  </si>
  <si>
    <t>ciglesis@cmi.cemolins.es</t>
  </si>
  <si>
    <t>admon@ponienterestaurante.es</t>
  </si>
  <si>
    <t>297/200</t>
  </si>
  <si>
    <t>Ocupación de una superficie de 200 m2 en el muelle de la antigua dársena pesquera para instalación de módulos destinados a oficina, vestuario y taller.</t>
  </si>
  <si>
    <t>Exento art 169,a)</t>
  </si>
  <si>
    <t xml:space="preserve">1 año por periodos de igual duración hasta 3 años. </t>
  </si>
  <si>
    <t xml:space="preserve"> CUOTA TASA DE OCUPACIÓN TERRENO   €/m2 y año
</t>
  </si>
  <si>
    <t>0,5% VN</t>
  </si>
  <si>
    <t xml:space="preserve">1 mes prorrog hasta 1 año </t>
  </si>
  <si>
    <t>CEPSA COMERCIAL PETROLEO</t>
  </si>
  <si>
    <t>433/2022</t>
  </si>
  <si>
    <t>Explotación de una unidad de suministro de combustible a embarcaciones en el Puerto de Alicante.</t>
  </si>
  <si>
    <t>3 meses prorrog mes hasta 3 años o concesión</t>
  </si>
  <si>
    <t>isabel.fernandez@cepsa.com</t>
  </si>
  <si>
    <t>6 meses prorrog sem. Hasta máx. 3 años</t>
  </si>
  <si>
    <t>Utilización del locotractor Zephir 4.90 en las operaciones que se desarrollan en la Terminal Ferroviaria de la concesión de la que TMS es titular.</t>
  </si>
  <si>
    <t>446/2022</t>
  </si>
  <si>
    <t>6 meses prorrog mes a mes hasta 3 años</t>
  </si>
  <si>
    <t>GASTROSUEÑOS S.L.</t>
  </si>
  <si>
    <t>Tiene tarifa T-10</t>
  </si>
  <si>
    <t>SERVICIOS TÉCNICOS ALICANTE S.L.</t>
  </si>
  <si>
    <t>INTERPARKING HISPANIA S.A.</t>
  </si>
  <si>
    <t>Explotar parte de las instalaciones del aparcamiento público situado detrás de las oficinas de la Autoridad Portuaria de Alicante</t>
  </si>
  <si>
    <t>1 mes prorrog hasta sentencia o concesión o 3 años</t>
  </si>
  <si>
    <t>GESFER EVENTOS S.L.</t>
  </si>
  <si>
    <t>Ocupación temporal de la Plaza del Puerto de Alicante destinada a la instalación del Mercadillo de Verano en 2023, 2024 y 2025.</t>
  </si>
  <si>
    <t>179/2023</t>
  </si>
  <si>
    <t>UTE AUTOMÓVILES LA ALCOYANA y GRUPO ENATCAR 685</t>
  </si>
  <si>
    <t>300/2023</t>
  </si>
  <si>
    <t>1 mes prorrog hasta 6 meses o concesión</t>
  </si>
  <si>
    <t>CENTRO PORTUARIO DE EMPLEO ALICANTE</t>
  </si>
  <si>
    <t>Instalación de dos módulos portátiles de aseo en el M-15 para dar servicio a su personal durante la prestación del servicio portuario de manipulación de mercancías.</t>
  </si>
  <si>
    <t>318/2023</t>
  </si>
  <si>
    <t>1 año prorrog hasta 3</t>
  </si>
  <si>
    <t>I-DE-REDES ELÉCTRICAS INTELIGENTES, S.A.U.</t>
  </si>
  <si>
    <t>Instalación de una línea para dotar de suministro eléctrico a la concesión otorgada a Dachser Spain, S.L.</t>
  </si>
  <si>
    <t>Instalación de un centro de seccionamiento para dotar de suministro eléctrico a la concesión otorgada a HUB PORTUARIO DE ALICANTE, S.L.</t>
  </si>
  <si>
    <t>26/2023</t>
  </si>
  <si>
    <t>3 meses prorrogable trimestral hasta 3 años</t>
  </si>
  <si>
    <t>25/2023</t>
  </si>
  <si>
    <t>Utilización de 24 ml. de pantalán flotante y pasarela de acdeso, dentro dl ámbito de la concesión que ostenta esa sociedad en la parcela DP-4 del puerto de Alicante.</t>
  </si>
  <si>
    <t>TECNOLOGÍA DE MALLA ACTIVA, S.L.</t>
  </si>
  <si>
    <t>235/2023</t>
  </si>
  <si>
    <t>Ocupar una superficie de terreno en el muelle 11, así como superficie de lámina de agua en la antigua dársena pesquera, destinada a la realización de un prueba en concepto de la idea 2.35, seleccionada en el programa Ports 4.0 y la evolución de la tecnología hasta nivel comercial</t>
  </si>
  <si>
    <t>6 meses prorrogable mes a mes hasta 3 años</t>
  </si>
  <si>
    <t>171/2023</t>
  </si>
  <si>
    <t>30/2023</t>
  </si>
  <si>
    <t>117/2023</t>
  </si>
  <si>
    <t>1 mes prorrogable mes a mes hasta 1 año</t>
  </si>
  <si>
    <t>REAL CLUB NORAY</t>
  </si>
  <si>
    <t>441/2023</t>
  </si>
  <si>
    <t>3 meses prorrog hasta 9 meses o reubicación</t>
  </si>
  <si>
    <t>55/2023</t>
  </si>
  <si>
    <t xml:space="preserve">1 mes prorrogable mes a mes hasta máx. 3 años o sentencia o entrega concesión.
</t>
  </si>
  <si>
    <t>francisco@fjsuaresherrerias.com</t>
  </si>
  <si>
    <t>MARINA PUERTA DE ALICANTE S.L.</t>
  </si>
  <si>
    <t>308/2023</t>
  </si>
  <si>
    <t xml:space="preserve">Desarrollo de actividades náutico-deportivas y 
complementarias de ocio, restauración, formación, comerciales y salas 
polivalentes en las instalaciones en tierra del Muelle 14.
</t>
  </si>
  <si>
    <t>426/2023</t>
  </si>
  <si>
    <t>Ocupar y explotar el edificio de servicios al transporte marítimo local destinado a uso hostelero</t>
  </si>
  <si>
    <t>3 meses prorrog hasta 1 año o otorg. concesión</t>
  </si>
  <si>
    <t>239/2022</t>
  </si>
  <si>
    <t>Temporada estival 3 años</t>
  </si>
  <si>
    <t>1 mes prorrog mes a mes hasta máx, 3 meses o convenio</t>
  </si>
  <si>
    <t>Ocupación de los edificios de Talleres Portuarios y de la antigua Lonja del Pescado con destino a sala de exposiciones y desarrollo de actividades culturales.</t>
  </si>
  <si>
    <t>451/2023</t>
  </si>
  <si>
    <t>c.vidal@interparking.com                     606309039</t>
  </si>
  <si>
    <t>39/2024</t>
  </si>
  <si>
    <t>1 mes prorrog hasta 3 meses o concesión</t>
  </si>
  <si>
    <t>401/2023</t>
  </si>
  <si>
    <t>1 mes prorrog hasta 1 año o Convenio</t>
  </si>
  <si>
    <t>267/2023</t>
  </si>
  <si>
    <t>462/2023</t>
  </si>
  <si>
    <t>1 año</t>
  </si>
  <si>
    <t>CONSEJO REGULADOR D.O.P.  VINOS ALICANTE</t>
  </si>
  <si>
    <t>463/2023</t>
  </si>
  <si>
    <t>“Instalación de la exposición itinerante “3000 años de cultura del vino Alicante” en el paseo de los Muelles 1 y 2 del puerto de Alicante.</t>
  </si>
  <si>
    <t>Hasta 2/4/24</t>
  </si>
  <si>
    <t>455/2023</t>
  </si>
  <si>
    <t>GESTRIL ALICANTE</t>
  </si>
  <si>
    <t>29/2024</t>
  </si>
  <si>
    <t>1 mes prorrog hasta 3 años</t>
  </si>
  <si>
    <t>CRUCEROS KONTIKI S.A.</t>
  </si>
  <si>
    <t>76/2024</t>
  </si>
  <si>
    <t>Utilización de los módulos A, B y C del Muelle de Tráfico Local destinados a pañol, punto de información y venta de billetes de la actividad de cruceros marítimos</t>
  </si>
  <si>
    <t>0,004 €/billete</t>
  </si>
  <si>
    <t>CÁMARA DE COMERCIO, INDUSTRIA, SERVICIOS Y NAVEGACIÓN DE ALICANTE</t>
  </si>
  <si>
    <t>Ocupación temporal de la Plaza del Puerto de Alicante destinada a la instalación del Mercadillo de Semana Santa 2024</t>
  </si>
  <si>
    <t>30 días</t>
  </si>
  <si>
    <t>26/2024</t>
  </si>
  <si>
    <t>8% VN</t>
  </si>
  <si>
    <t>1 mes más</t>
  </si>
  <si>
    <t>156/2024</t>
  </si>
  <si>
    <t>Ocupación de una superficie en el M-19 destinada a la instalación de un contenedor como pañol de sus embarcaciones.</t>
  </si>
  <si>
    <t>1 año prorrog. hasta 3 años</t>
  </si>
  <si>
    <t>GLOBAL PORTS ALICANTE SL</t>
  </si>
  <si>
    <t>268/2024</t>
  </si>
  <si>
    <t>Ocupar cinco plazas de aparcamiento y un espacio para estacionamiento de un tren lanzadera en el Muelle 14 para dar servicio al pasaje en régimen de crucero.</t>
  </si>
  <si>
    <t>Hasta 28/10/24</t>
  </si>
  <si>
    <t>GDV GESTIÓN Y DISTRIBUCIÓN S.L.</t>
  </si>
  <si>
    <t>307/2024</t>
  </si>
  <si>
    <t>3 meses prorrog hasta 3 años</t>
  </si>
  <si>
    <t>Instalar diferentes elementos informativos del Mercadillo de Semana Santa 2024 en la zona de Levante del puerto de Alicante</t>
  </si>
  <si>
    <t>Hasta 9/04/24</t>
  </si>
  <si>
    <t>EDITORIAL PRENSA ALICANTE SAU</t>
  </si>
  <si>
    <t>Instalación de la exposición “Explora Alicante” en el paseo del Muelle 2 del puerto de Alicante</t>
  </si>
  <si>
    <t>Hasta 19/05/24</t>
  </si>
  <si>
    <t>3 meses prorrog por meses hasta 3 años o concesión</t>
  </si>
  <si>
    <t>94/2024</t>
  </si>
  <si>
    <t>1 mes prorrogable mes a mes hasta 3 años</t>
  </si>
  <si>
    <t>389/2024</t>
  </si>
  <si>
    <t>Realizar diferentes acciones de marketing en zona de Levante del puerto de Alicante con el fin de promocionar el Mercadillo de Verano 2024.</t>
  </si>
  <si>
    <t>Hasta 31/8/24 prorrog  hasta 25/9/24</t>
  </si>
  <si>
    <t>503/2024</t>
  </si>
  <si>
    <t>Ocupar una superficie en el Muelle 12 destinada a aparcamiento de clientes.</t>
  </si>
  <si>
    <t>1 mes prorrg. hasta 3/11/24</t>
  </si>
  <si>
    <t>498/2024</t>
  </si>
  <si>
    <t>CLUB NÁUTICO COSTA BLANCA</t>
  </si>
  <si>
    <t>508/2024</t>
  </si>
  <si>
    <t>“Instalación de tres pantalanes flotantes en el Muelle 12 del puerto de Alicante para el amarre temporal de las embarcaciones del club náutico.</t>
  </si>
  <si>
    <t>11 meses prorrog hasta 18 meses</t>
  </si>
  <si>
    <t>Modificación de la autorización 268/24 ampliando el ámbito.</t>
  </si>
  <si>
    <t>563/2024</t>
  </si>
  <si>
    <t>1 mes prorrog hasta 1 año o concesión</t>
  </si>
  <si>
    <t>1 mes prorrog hasta 9 meses o reubicación</t>
  </si>
  <si>
    <t>ABIA Y ALLEPUZ COMUNICACIÓN S.L.</t>
  </si>
  <si>
    <t>Ocupación de una superficie en la Plaza del Puerto de Alicante destinada a la celebración de una Feria Comercial en noviembre de 2024.</t>
  </si>
  <si>
    <t>9 días</t>
  </si>
  <si>
    <t>ASOC. PALESTINO-ANDALUSÍ PARA LA INFANCIA</t>
  </si>
  <si>
    <t>Ocupación de una superficie en la Plaza del Puerto de Alicante destinada a la instalación de una feria.</t>
  </si>
  <si>
    <t>8 días</t>
  </si>
  <si>
    <t>3 meses prorrog hasta 2 años o concesión</t>
  </si>
  <si>
    <t>CESA ALICANTE S.A.</t>
  </si>
  <si>
    <t>610/2024</t>
  </si>
  <si>
    <t>Ocupar una superficie en el Muelle 17 de este puerto destinada a la instalación provisional de dos contenedores para utillaje, cambio de ropa y aseo personal.</t>
  </si>
  <si>
    <t>6 meses prorrog hasta 18 meses o concesión</t>
  </si>
  <si>
    <t>BERGE MARITIMA S.L.</t>
  </si>
  <si>
    <t>628/2024</t>
  </si>
  <si>
    <t>Ocupación de una superficie de 2.100 m2 en el Muelle 17 del puerto de Alicante destinada a la realización de los trabajos de mantenimiento de la grúa móvil Liebherr GX045</t>
  </si>
  <si>
    <t>6 meses prorrog hasta 9 meses</t>
  </si>
  <si>
    <t>NOATUM MARITIME SPAIN S.A.</t>
  </si>
  <si>
    <t>612/2024</t>
  </si>
  <si>
    <t>Ocupación de una superficie en el Muelle 14 destinada a la instalación de una cuna para embarcación VO65 y un contenedor para almacenamiento de material del equipo “Viva México” participante en la regata Vuelta al Mundo a Vela</t>
  </si>
  <si>
    <t>Fin el 15/01/2025 prorrog hasta 6 meses</t>
  </si>
  <si>
    <t>PUERTOS Y LITORALES SOSTENIBLES</t>
  </si>
  <si>
    <t>Ocupación de una superficie en el Muelle 19 del puerto de Alicante destinada a la construcción de un dique flotante para una instalación náutica en el puerto de Ibiza</t>
  </si>
  <si>
    <t>554/2024</t>
  </si>
  <si>
    <t>5 meses prorrogable mens/ hasta 9 meses</t>
  </si>
  <si>
    <t>650/2024</t>
  </si>
  <si>
    <t>Ocupar 240 m2 de lámina de agua colindantes al foso del travelift destinada a la instalación de un pantalán flotante para las operaciones de varada/botadura de embarcaciones menores</t>
  </si>
  <si>
    <t>6 meses prorrog trim/ hasta 3 años</t>
  </si>
  <si>
    <t>EVENTOS MARE NOSTRUM S.L.</t>
  </si>
  <si>
    <t>Ocupar una superficie en la Plaza del Puerto de Alicante destinada a la instalación del evento Navidad Sostenible en el Puerto de Alicante.</t>
  </si>
  <si>
    <t>45 días</t>
  </si>
  <si>
    <t>Instalación de la exposición La provincia de Alicante, la tierra de la Navidad en el paseo del Muelle 2 del puerto de Alicante.</t>
  </si>
  <si>
    <t>Hasta el 22/12/24</t>
  </si>
  <si>
    <t>497/2024</t>
  </si>
  <si>
    <t>MÍNIMO ANUAL 2024</t>
  </si>
  <si>
    <t>x</t>
  </si>
  <si>
    <t>592/2024</t>
  </si>
  <si>
    <t>Instalación de un taller de reparación y mantenimienyo de maquinaria propia como empresa estibadora en el M-17.</t>
  </si>
  <si>
    <t>651/2024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</si>
  <si>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</si>
  <si>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</si>
  <si>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</si>
  <si>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</si>
  <si>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</si>
  <si>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</si>
  <si>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</si>
  <si>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</si>
  <si>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</si>
  <si>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</si>
  <si>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</si>
  <si>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</si>
  <si>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Cantina</t>
  </si>
  <si>
    <t>CEPSA Declarado</t>
  </si>
  <si>
    <t>CEPSA Facturado</t>
  </si>
  <si>
    <t>CESA FACT</t>
  </si>
  <si>
    <t>83/2024</t>
  </si>
  <si>
    <t>EIFFAGE INFRAESTRUCTURAS SAU</t>
  </si>
  <si>
    <t>474/2024</t>
  </si>
  <si>
    <t>Utilización de las pantallas del Muelle 13 y de la superficie delimitada por éstas.</t>
  </si>
  <si>
    <t>1 año prorrog sem hasta 3 años</t>
  </si>
  <si>
    <t>0,025 €/t</t>
  </si>
  <si>
    <t>CLUB DE REGATAS RESTAURACIÓN SL</t>
  </si>
  <si>
    <t>446/2021</t>
  </si>
  <si>
    <t>Ejercicio de actividad comercial consistente en la prestación de servicios de hostelería.</t>
  </si>
  <si>
    <t>Hasta 20/01/2022 prorrogable max. por 10 años contrato RCRA</t>
  </si>
  <si>
    <t>652/2024</t>
  </si>
  <si>
    <t>234/2024</t>
  </si>
  <si>
    <t>664/2024</t>
  </si>
  <si>
    <t>Ocupación de la explanada del Muelle 12 destinada a la celebración del evento “The Champions Burger Alicante 2024.</t>
  </si>
  <si>
    <t>Ocupación de la nave situada en la parcela P-2 del puerto de Alicante destinada al desarrollo del proyecto de megabaterías y almacenamiento de materiales</t>
  </si>
  <si>
    <t>GESFER</t>
  </si>
  <si>
    <t>143/2024</t>
  </si>
  <si>
    <t>Ocupación de una superficie en el Muelle 17 del puerto de Alicante destinada a la instalación de un punto limpio para la gestión de los residuos generados por los buques.</t>
  </si>
  <si>
    <t>1 año prorrog hasta 3 años</t>
  </si>
  <si>
    <t>Intrerpark declarado</t>
  </si>
  <si>
    <t>Interparking facturado T.A.</t>
  </si>
  <si>
    <t>Interpark Ocupación</t>
  </si>
  <si>
    <t>Marina Puerta Declarado</t>
  </si>
  <si>
    <t>Marina Puerta Facturado</t>
  </si>
  <si>
    <t>qlinaria declarado</t>
  </si>
  <si>
    <t>Qlinaria facturado</t>
  </si>
  <si>
    <t>Real Club Noray declarado</t>
  </si>
  <si>
    <t>RCNoray Facturado</t>
  </si>
  <si>
    <t>TRAA facturado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</si>
</sst>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0.0%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5" fontId="2" fillId="2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2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2" fillId="2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2" fontId="6" fillId="0" borderId="3" xfId="0" applyNumberFormat="1" applyFont="1" applyBorder="1" applyAlignment="1">
      <alignment horizontal="right" vertical="center"/>
    </xf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9" fontId="3" fillId="0" borderId="3" xfId="0" applyNumberFormat="1" applyFont="1" applyBorder="1" applyAlignment="1">
      <alignment horizontal="center" vertical="center"/>
    </xf>
    <xf numFmtId="0" fontId="10" fillId="0" borderId="2" xfId="2" applyFill="1" applyBorder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Border="1"/>
    <xf numFmtId="10" fontId="3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10" fillId="0" borderId="4" xfId="2" applyFill="1" applyBorder="1" applyAlignment="1">
      <alignment vertical="center"/>
    </xf>
    <xf numFmtId="0" fontId="0" fillId="0" borderId="2" xfId="0" applyBorder="1" applyAlignment="1">
      <alignment horizontal="justify" vertical="center"/>
    </xf>
    <xf numFmtId="4" fontId="0" fillId="0" borderId="4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17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3" xfId="0" applyBorder="1"/>
    <xf numFmtId="4" fontId="6" fillId="0" borderId="11" xfId="0" applyNumberFormat="1" applyFont="1" applyBorder="1" applyAlignment="1">
      <alignment horizontal="right" vertical="center"/>
    </xf>
    <xf numFmtId="0" fontId="10" fillId="0" borderId="3" xfId="2" applyFill="1" applyBorder="1" applyAlignment="1">
      <alignment vertical="center"/>
    </xf>
    <xf numFmtId="4" fontId="0" fillId="0" borderId="2" xfId="0" applyNumberFormat="1" applyBorder="1"/>
    <xf numFmtId="4" fontId="0" fillId="0" borderId="6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6" fillId="0" borderId="2" xfId="3" applyFont="1" applyBorder="1" applyAlignment="1">
      <alignment horizontal="right" vertical="center"/>
    </xf>
    <xf numFmtId="43" fontId="0" fillId="0" borderId="2" xfId="3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right" vertical="center"/>
    </xf>
    <xf numFmtId="43" fontId="0" fillId="0" borderId="3" xfId="3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10" fillId="0" borderId="2" xfId="2" applyFill="1" applyBorder="1" applyAlignment="1">
      <alignment horizontal="left" vertical="center"/>
    </xf>
    <xf numFmtId="9" fontId="3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0" fillId="3" borderId="2" xfId="0" applyFill="1" applyBorder="1"/>
    <xf numFmtId="0" fontId="0" fillId="3" borderId="0" xfId="0" applyFill="1"/>
    <xf numFmtId="166" fontId="3" fillId="0" borderId="3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2" fontId="0" fillId="0" borderId="3" xfId="0" applyNumberForma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justify" vertical="center"/>
    </xf>
    <xf numFmtId="14" fontId="0" fillId="0" borderId="4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14" fontId="0" fillId="0" borderId="2" xfId="0" applyNumberForma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7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165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0" fillId="0" borderId="2" xfId="2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10" fillId="0" borderId="4" xfId="2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0" fillId="0" borderId="3" xfId="0" applyNumberForma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6" xfId="2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Normal 10 10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dmon@ponienterestaurante.es" TargetMode="External"/><Relationship Id="rId7" Type="http://schemas.openxmlformats.org/officeDocument/2006/relationships/hyperlink" Target="mailto:andres.fernandez@alicante-ayto.es" TargetMode="External"/><Relationship Id="rId2" Type="http://schemas.openxmlformats.org/officeDocument/2006/relationships/hyperlink" Target="mailto:ciglesis@cmi.cemolins.es" TargetMode="External"/><Relationship Id="rId1" Type="http://schemas.openxmlformats.org/officeDocument/2006/relationships/hyperlink" Target="mailto:rlama@asesor-alicante.es" TargetMode="External"/><Relationship Id="rId6" Type="http://schemas.openxmlformats.org/officeDocument/2006/relationships/hyperlink" Target="mailto:c.vidal@interparking.com%20%20%20%20%20%20%20%20%20%20%20%20%20%20%20%20%20%20%20%20%20606309039" TargetMode="External"/><Relationship Id="rId5" Type="http://schemas.openxmlformats.org/officeDocument/2006/relationships/hyperlink" Target="mailto:francisco@fjsuaresherrerias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isabel.fernandez@cepsa.com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200"/>
  <sheetViews>
    <sheetView tabSelected="1" zoomScale="80" zoomScaleNormal="80" workbookViewId="0">
      <pane ySplit="1" topLeftCell="A78" activePane="bottomLeft" state="frozen"/>
      <selection pane="bottomLeft" sqref="A1:A1048576"/>
    </sheetView>
  </sheetViews>
  <sheetFormatPr baseColWidth="10" defaultRowHeight="14.4" x14ac:dyDescent="0.3"/>
  <cols>
    <col min="1" max="1" width="43.33203125" customWidth="1"/>
    <col min="2" max="2" width="13.5546875" style="2" customWidth="1"/>
    <col min="3" max="3" width="53.5546875" customWidth="1"/>
    <col min="4" max="4" width="13.6640625" customWidth="1"/>
    <col min="5" max="5" width="23.6640625" style="1" customWidth="1"/>
    <col min="6" max="6" width="15.77734375" style="1" customWidth="1"/>
    <col min="7" max="7" width="11" style="9" customWidth="1"/>
    <col min="8" max="8" width="15.109375" style="14" customWidth="1"/>
    <col min="9" max="9" width="9.21875" style="16" customWidth="1"/>
    <col min="10" max="10" width="12.21875" customWidth="1"/>
    <col min="11" max="11" width="14.44140625" style="12" customWidth="1"/>
    <col min="12" max="12" width="12.21875" style="12" customWidth="1"/>
    <col min="13" max="13" width="15.5546875" style="1" customWidth="1"/>
    <col min="14" max="14" width="11.6640625" style="1" customWidth="1"/>
    <col min="15" max="16" width="20.5546875" customWidth="1"/>
    <col min="17" max="17" width="20.33203125" style="1" customWidth="1"/>
    <col min="18" max="18" width="14.33203125" customWidth="1"/>
    <col min="19" max="19" width="17.6640625" customWidth="1"/>
    <col min="20" max="20" width="12.109375" style="7" customWidth="1"/>
    <col min="21" max="21" width="15.6640625" style="12" customWidth="1"/>
    <col min="22" max="22" width="11.5546875" style="1"/>
    <col min="23" max="23" width="33.88671875" customWidth="1"/>
    <col min="24" max="24" width="35.6640625" bestFit="1" customWidth="1"/>
  </cols>
  <sheetData>
    <row r="1" spans="1:28" s="1" customFormat="1" ht="130.19999999999999" thickBot="1" x14ac:dyDescent="0.35">
      <c r="A1" s="4" t="s">
        <v>5</v>
      </c>
      <c r="B1" s="4" t="s">
        <v>26</v>
      </c>
      <c r="C1" s="4" t="s">
        <v>0</v>
      </c>
      <c r="D1" s="4" t="s">
        <v>1</v>
      </c>
      <c r="E1" s="4" t="s">
        <v>2</v>
      </c>
      <c r="F1" s="5" t="s">
        <v>27</v>
      </c>
      <c r="G1" s="8" t="s">
        <v>92</v>
      </c>
      <c r="H1" s="13" t="s">
        <v>91</v>
      </c>
      <c r="I1" s="15" t="s">
        <v>114</v>
      </c>
      <c r="J1" s="3" t="s">
        <v>4</v>
      </c>
      <c r="K1" s="3" t="s">
        <v>105</v>
      </c>
      <c r="L1" s="11" t="s">
        <v>19</v>
      </c>
      <c r="M1" s="3" t="s">
        <v>20</v>
      </c>
      <c r="N1" s="5" t="s">
        <v>30</v>
      </c>
      <c r="O1" s="3" t="s">
        <v>45</v>
      </c>
      <c r="P1" s="3" t="s">
        <v>21</v>
      </c>
      <c r="Q1" s="3" t="s">
        <v>3</v>
      </c>
      <c r="R1" s="3" t="s">
        <v>22</v>
      </c>
      <c r="S1" s="3" t="s">
        <v>265</v>
      </c>
      <c r="T1" s="6" t="s">
        <v>31</v>
      </c>
      <c r="U1" s="11" t="s">
        <v>23</v>
      </c>
      <c r="V1" s="3" t="s">
        <v>25</v>
      </c>
      <c r="W1" s="3" t="s">
        <v>24</v>
      </c>
      <c r="X1" s="5" t="s">
        <v>61</v>
      </c>
    </row>
    <row r="2" spans="1:28" s="1" customFormat="1" ht="45.6" customHeight="1" thickBot="1" x14ac:dyDescent="0.35">
      <c r="A2" s="35" t="s">
        <v>233</v>
      </c>
      <c r="B2" s="36" t="s">
        <v>264</v>
      </c>
      <c r="C2" s="114" t="s">
        <v>234</v>
      </c>
      <c r="D2" s="115">
        <v>45593</v>
      </c>
      <c r="E2" s="116" t="s">
        <v>235</v>
      </c>
      <c r="F2" s="29">
        <v>45601</v>
      </c>
      <c r="G2" s="117">
        <v>7.4999999999999997E-2</v>
      </c>
      <c r="H2" s="31">
        <v>235.27</v>
      </c>
      <c r="I2" s="17">
        <f>G2*H2</f>
        <v>17.645250000000001</v>
      </c>
      <c r="J2" s="23" t="s">
        <v>6</v>
      </c>
      <c r="K2" s="24">
        <v>1950</v>
      </c>
      <c r="L2" s="37">
        <v>0</v>
      </c>
      <c r="M2" s="23" t="s">
        <v>6</v>
      </c>
      <c r="N2" s="23">
        <v>1</v>
      </c>
      <c r="O2" s="38">
        <f>I2*K2*9/366</f>
        <v>846.1042008196722</v>
      </c>
      <c r="P2" s="23" t="s">
        <v>266</v>
      </c>
      <c r="Q2" s="97">
        <v>0.08</v>
      </c>
      <c r="R2" s="39"/>
      <c r="S2" s="40">
        <v>47500</v>
      </c>
      <c r="T2" s="41">
        <v>1</v>
      </c>
      <c r="U2" s="38">
        <f>Q2*S2</f>
        <v>3800</v>
      </c>
      <c r="V2" s="42" t="s">
        <v>266</v>
      </c>
      <c r="W2" s="43"/>
      <c r="X2" s="36"/>
    </row>
    <row r="3" spans="1:28" s="1" customFormat="1" ht="45.6" customHeight="1" x14ac:dyDescent="0.3">
      <c r="A3" s="35" t="s">
        <v>68</v>
      </c>
      <c r="B3" s="36" t="s">
        <v>63</v>
      </c>
      <c r="C3" s="114" t="s">
        <v>62</v>
      </c>
      <c r="D3" s="115">
        <v>44308</v>
      </c>
      <c r="E3" s="116" t="s">
        <v>64</v>
      </c>
      <c r="F3" s="29">
        <v>45403</v>
      </c>
      <c r="G3" s="117">
        <v>2.75E-2</v>
      </c>
      <c r="H3" s="31">
        <v>128.80000000000001</v>
      </c>
      <c r="I3" s="17">
        <f>G3*H3</f>
        <v>3.5420000000000003</v>
      </c>
      <c r="J3" s="23" t="s">
        <v>6</v>
      </c>
      <c r="K3" s="24">
        <v>97.5</v>
      </c>
      <c r="L3" s="37">
        <v>0</v>
      </c>
      <c r="M3" s="23" t="s">
        <v>6</v>
      </c>
      <c r="N3" s="23">
        <v>3</v>
      </c>
      <c r="O3" s="38">
        <f>(I3*K3/4)+18.87</f>
        <v>105.20625000000001</v>
      </c>
      <c r="P3" s="23" t="s">
        <v>266</v>
      </c>
      <c r="Q3" s="23" t="s">
        <v>41</v>
      </c>
      <c r="R3" s="39" t="s">
        <v>46</v>
      </c>
      <c r="S3" s="40">
        <v>2400</v>
      </c>
      <c r="T3" s="41">
        <v>3</v>
      </c>
      <c r="U3" s="38">
        <f>S3*0.05*111/366</f>
        <v>36.393442622950822</v>
      </c>
      <c r="V3" s="42" t="s">
        <v>266</v>
      </c>
      <c r="W3" s="43"/>
      <c r="X3" s="36" t="s">
        <v>6</v>
      </c>
    </row>
    <row r="4" spans="1:28" ht="42.6" customHeight="1" x14ac:dyDescent="0.3">
      <c r="A4" s="194" t="s">
        <v>39</v>
      </c>
      <c r="B4" s="196" t="s">
        <v>175</v>
      </c>
      <c r="C4" s="198" t="s">
        <v>38</v>
      </c>
      <c r="D4" s="200">
        <v>45315</v>
      </c>
      <c r="E4" s="202" t="s">
        <v>176</v>
      </c>
      <c r="F4" s="204">
        <v>45379</v>
      </c>
      <c r="G4" s="123">
        <v>5.5E-2</v>
      </c>
      <c r="H4" s="124">
        <v>67.02</v>
      </c>
      <c r="I4" s="17">
        <f>G4*H4</f>
        <v>3.6860999999999997</v>
      </c>
      <c r="J4" s="23"/>
      <c r="K4" s="24">
        <v>675.63</v>
      </c>
      <c r="L4" s="24"/>
      <c r="M4" s="219">
        <v>2819</v>
      </c>
      <c r="N4" s="189">
        <v>3</v>
      </c>
      <c r="O4" s="206">
        <f>(((I4*K4)+(J5*L5)+M4)/12)+224.8+786.75</f>
        <v>1843.0079369166667</v>
      </c>
      <c r="P4" s="189" t="s">
        <v>266</v>
      </c>
      <c r="Q4" s="189" t="s">
        <v>6</v>
      </c>
      <c r="R4" s="227" t="s">
        <v>6</v>
      </c>
      <c r="S4" s="227" t="s">
        <v>6</v>
      </c>
      <c r="T4" s="216" t="s">
        <v>6</v>
      </c>
      <c r="U4" s="206">
        <v>0</v>
      </c>
      <c r="V4" s="189" t="s">
        <v>6</v>
      </c>
      <c r="W4" s="229"/>
      <c r="X4" s="233"/>
    </row>
    <row r="5" spans="1:28" ht="42.6" customHeight="1" x14ac:dyDescent="0.3">
      <c r="A5" s="195"/>
      <c r="B5" s="197"/>
      <c r="C5" s="199"/>
      <c r="D5" s="201"/>
      <c r="E5" s="203"/>
      <c r="F5" s="205"/>
      <c r="G5" s="123">
        <v>5.5E-2</v>
      </c>
      <c r="H5" s="124">
        <v>16.47</v>
      </c>
      <c r="I5" s="17"/>
      <c r="J5" s="18">
        <v>0.85</v>
      </c>
      <c r="K5" s="24"/>
      <c r="L5" s="24">
        <v>5491.83</v>
      </c>
      <c r="M5" s="220"/>
      <c r="N5" s="190"/>
      <c r="O5" s="207"/>
      <c r="P5" s="190"/>
      <c r="Q5" s="190"/>
      <c r="R5" s="228"/>
      <c r="S5" s="228"/>
      <c r="T5" s="217"/>
      <c r="U5" s="207"/>
      <c r="V5" s="190"/>
      <c r="W5" s="230"/>
      <c r="X5" s="223"/>
    </row>
    <row r="6" spans="1:28" ht="42.6" customHeight="1" x14ac:dyDescent="0.3">
      <c r="A6" s="194" t="s">
        <v>39</v>
      </c>
      <c r="B6" s="196" t="s">
        <v>136</v>
      </c>
      <c r="C6" s="198" t="s">
        <v>38</v>
      </c>
      <c r="D6" s="200">
        <v>45131</v>
      </c>
      <c r="E6" s="202" t="s">
        <v>137</v>
      </c>
      <c r="F6" s="204">
        <v>45314</v>
      </c>
      <c r="G6" s="123">
        <v>5.5E-2</v>
      </c>
      <c r="H6" s="124">
        <v>67.02</v>
      </c>
      <c r="I6" s="17">
        <f>G6*H6</f>
        <v>3.6860999999999997</v>
      </c>
      <c r="J6" s="23"/>
      <c r="K6" s="24">
        <v>675.63</v>
      </c>
      <c r="L6" s="24"/>
      <c r="M6" s="219">
        <v>2819</v>
      </c>
      <c r="N6" s="189">
        <v>3</v>
      </c>
      <c r="O6" s="206">
        <f>((I6*K6)+(J7*L7)+M6)*23/365</f>
        <v>628.71887832602738</v>
      </c>
      <c r="P6" s="189" t="s">
        <v>266</v>
      </c>
      <c r="Q6" s="189" t="s">
        <v>6</v>
      </c>
      <c r="R6" s="227" t="s">
        <v>6</v>
      </c>
      <c r="S6" s="227" t="s">
        <v>6</v>
      </c>
      <c r="T6" s="216" t="s">
        <v>6</v>
      </c>
      <c r="U6" s="206">
        <v>0</v>
      </c>
      <c r="V6" s="189" t="s">
        <v>6</v>
      </c>
      <c r="W6" s="229"/>
      <c r="X6" s="233"/>
    </row>
    <row r="7" spans="1:28" ht="42.6" customHeight="1" x14ac:dyDescent="0.3">
      <c r="A7" s="195"/>
      <c r="B7" s="197"/>
      <c r="C7" s="199"/>
      <c r="D7" s="201"/>
      <c r="E7" s="203"/>
      <c r="F7" s="205"/>
      <c r="G7" s="123">
        <v>5.5E-2</v>
      </c>
      <c r="H7" s="124">
        <v>16.47</v>
      </c>
      <c r="I7" s="17"/>
      <c r="J7" s="18">
        <v>0.85</v>
      </c>
      <c r="K7" s="24"/>
      <c r="L7" s="24">
        <v>5491.83</v>
      </c>
      <c r="M7" s="220"/>
      <c r="N7" s="190"/>
      <c r="O7" s="207"/>
      <c r="P7" s="190"/>
      <c r="Q7" s="190"/>
      <c r="R7" s="228"/>
      <c r="S7" s="228"/>
      <c r="T7" s="217"/>
      <c r="U7" s="207"/>
      <c r="V7" s="190"/>
      <c r="W7" s="230"/>
      <c r="X7" s="223"/>
    </row>
    <row r="8" spans="1:28" ht="42.6" customHeight="1" x14ac:dyDescent="0.3">
      <c r="A8" s="126" t="s">
        <v>236</v>
      </c>
      <c r="B8" s="25" t="s">
        <v>267</v>
      </c>
      <c r="C8" s="114" t="s">
        <v>237</v>
      </c>
      <c r="D8" s="130">
        <v>45602</v>
      </c>
      <c r="E8" s="128" t="s">
        <v>238</v>
      </c>
      <c r="F8" s="129">
        <v>45609</v>
      </c>
      <c r="G8" s="123">
        <v>7.4999999999999997E-2</v>
      </c>
      <c r="H8" s="124">
        <v>235.27</v>
      </c>
      <c r="I8" s="131">
        <f>G8*H8</f>
        <v>17.645250000000001</v>
      </c>
      <c r="J8" s="18" t="s">
        <v>6</v>
      </c>
      <c r="K8" s="24">
        <v>1372</v>
      </c>
      <c r="L8" s="24">
        <v>0</v>
      </c>
      <c r="M8" s="26" t="s">
        <v>6</v>
      </c>
      <c r="N8" s="18">
        <v>1</v>
      </c>
      <c r="O8" s="27">
        <f>I8*K8*8/366</f>
        <v>529.16465573770495</v>
      </c>
      <c r="P8" s="18" t="s">
        <v>266</v>
      </c>
      <c r="Q8" s="46">
        <v>0.08</v>
      </c>
      <c r="R8" s="28"/>
      <c r="S8" s="28">
        <v>27300</v>
      </c>
      <c r="T8" s="61">
        <v>1</v>
      </c>
      <c r="U8" s="27">
        <v>2520</v>
      </c>
      <c r="V8" s="18" t="s">
        <v>266</v>
      </c>
      <c r="W8" s="94"/>
      <c r="X8" s="57"/>
    </row>
    <row r="9" spans="1:28" ht="42.6" customHeight="1" x14ac:dyDescent="0.3">
      <c r="A9" s="127" t="s">
        <v>90</v>
      </c>
      <c r="B9" s="23" t="s">
        <v>173</v>
      </c>
      <c r="C9" s="114" t="s">
        <v>172</v>
      </c>
      <c r="D9" s="120">
        <v>45269</v>
      </c>
      <c r="E9" s="116" t="s">
        <v>171</v>
      </c>
      <c r="F9" s="29">
        <v>45359</v>
      </c>
      <c r="G9" s="30">
        <v>7.4999999999999997E-2</v>
      </c>
      <c r="H9" s="31">
        <v>235.27</v>
      </c>
      <c r="I9" s="132">
        <f>G9*H9*0.5</f>
        <v>8.8226250000000004</v>
      </c>
      <c r="J9" s="48" t="s">
        <v>6</v>
      </c>
      <c r="K9" s="24">
        <v>2970</v>
      </c>
      <c r="L9" s="133" t="s">
        <v>6</v>
      </c>
      <c r="M9" s="48">
        <f>2568.13*12</f>
        <v>30817.56</v>
      </c>
      <c r="N9" s="36">
        <v>12</v>
      </c>
      <c r="O9" s="38">
        <f>(I9*K9+M9)/12*2+1246.34</f>
        <v>10749.799375000001</v>
      </c>
      <c r="P9" s="23" t="s">
        <v>266</v>
      </c>
      <c r="Q9" s="36" t="s">
        <v>6</v>
      </c>
      <c r="R9" s="36" t="s">
        <v>6</v>
      </c>
      <c r="S9" s="36" t="s">
        <v>6</v>
      </c>
      <c r="T9" s="64" t="s">
        <v>6</v>
      </c>
      <c r="U9" s="71">
        <v>0</v>
      </c>
      <c r="V9" s="36" t="s">
        <v>6</v>
      </c>
      <c r="W9" s="36"/>
      <c r="X9" s="34"/>
      <c r="AA9" s="72"/>
      <c r="AB9" s="69"/>
    </row>
    <row r="10" spans="1:28" ht="42.6" customHeight="1" x14ac:dyDescent="0.3">
      <c r="A10" s="127" t="s">
        <v>90</v>
      </c>
      <c r="B10" s="23"/>
      <c r="C10" s="114" t="s">
        <v>172</v>
      </c>
      <c r="D10" s="120">
        <v>45360</v>
      </c>
      <c r="E10" s="121" t="s">
        <v>178</v>
      </c>
      <c r="F10" s="122">
        <v>45638</v>
      </c>
      <c r="G10" s="30">
        <v>7.4999999999999997E-2</v>
      </c>
      <c r="H10" s="31">
        <v>235.27</v>
      </c>
      <c r="I10" s="132">
        <f>G10*H10*0.5</f>
        <v>8.8226250000000004</v>
      </c>
      <c r="J10" s="48" t="s">
        <v>6</v>
      </c>
      <c r="K10" s="24">
        <v>2970</v>
      </c>
      <c r="L10" s="134" t="s">
        <v>6</v>
      </c>
      <c r="M10" s="48">
        <f>2568.13*12</f>
        <v>30817.56</v>
      </c>
      <c r="N10" s="36">
        <v>12</v>
      </c>
      <c r="O10" s="107">
        <f>(I10*K10+M10)*8/12+3583.11+1869.49</f>
        <v>43466.4375</v>
      </c>
      <c r="P10" s="105" t="s">
        <v>266</v>
      </c>
      <c r="Q10" s="22" t="s">
        <v>6</v>
      </c>
      <c r="R10" s="22" t="s">
        <v>6</v>
      </c>
      <c r="S10" s="22" t="s">
        <v>6</v>
      </c>
      <c r="T10" s="63" t="s">
        <v>6</v>
      </c>
      <c r="U10" s="91">
        <v>0</v>
      </c>
      <c r="V10" s="22" t="s">
        <v>6</v>
      </c>
      <c r="W10" s="22"/>
      <c r="X10" s="51"/>
      <c r="AA10" s="72"/>
      <c r="AB10" s="69"/>
    </row>
    <row r="11" spans="1:28" ht="42.6" customHeight="1" x14ac:dyDescent="0.3">
      <c r="A11" s="247" t="s">
        <v>32</v>
      </c>
      <c r="B11" s="196" t="s">
        <v>177</v>
      </c>
      <c r="C11" s="247" t="s">
        <v>56</v>
      </c>
      <c r="D11" s="200">
        <v>45292</v>
      </c>
      <c r="E11" s="204" t="s">
        <v>178</v>
      </c>
      <c r="F11" s="204">
        <v>45657</v>
      </c>
      <c r="G11" s="30">
        <v>7.4999999999999997E-2</v>
      </c>
      <c r="H11" s="136">
        <v>158.57</v>
      </c>
      <c r="I11" s="132">
        <f>G11*H11*0.5</f>
        <v>5.9463749999999997</v>
      </c>
      <c r="J11" s="231" t="s">
        <v>6</v>
      </c>
      <c r="K11" s="137">
        <v>4452.6499999999996</v>
      </c>
      <c r="L11" s="196" t="s">
        <v>6</v>
      </c>
      <c r="M11" s="235">
        <f>149566*0.5</f>
        <v>74783</v>
      </c>
      <c r="N11" s="196">
        <v>6</v>
      </c>
      <c r="O11" s="206">
        <f>((I11*K11)+(I12*K12)+M11)</f>
        <v>101603.81324387499</v>
      </c>
      <c r="P11" s="189" t="s">
        <v>266</v>
      </c>
      <c r="Q11" s="196">
        <v>3.5370000000000002E-3</v>
      </c>
      <c r="R11" s="235">
        <v>2508538</v>
      </c>
      <c r="S11" s="235">
        <v>2602101</v>
      </c>
      <c r="T11" s="237">
        <v>6</v>
      </c>
      <c r="U11" s="239">
        <f>Q11*S11</f>
        <v>9203.6312370000014</v>
      </c>
      <c r="V11" s="196" t="s">
        <v>266</v>
      </c>
      <c r="W11" s="196"/>
      <c r="X11" s="240" t="s">
        <v>66</v>
      </c>
      <c r="AA11" s="72"/>
      <c r="AB11" s="69"/>
    </row>
    <row r="12" spans="1:28" ht="42.6" customHeight="1" x14ac:dyDescent="0.3">
      <c r="A12" s="248"/>
      <c r="B12" s="197"/>
      <c r="C12" s="248"/>
      <c r="D12" s="201"/>
      <c r="E12" s="203"/>
      <c r="F12" s="205"/>
      <c r="G12" s="117">
        <v>2.75E-2</v>
      </c>
      <c r="H12" s="136">
        <v>158.57</v>
      </c>
      <c r="I12" s="132">
        <f>G12*H12*0.5</f>
        <v>2.1803374999999998</v>
      </c>
      <c r="J12" s="232"/>
      <c r="K12" s="139">
        <v>157.63</v>
      </c>
      <c r="L12" s="197"/>
      <c r="M12" s="251"/>
      <c r="N12" s="197"/>
      <c r="O12" s="207"/>
      <c r="P12" s="190"/>
      <c r="Q12" s="197"/>
      <c r="R12" s="251"/>
      <c r="S12" s="251"/>
      <c r="T12" s="259"/>
      <c r="U12" s="192"/>
      <c r="V12" s="197"/>
      <c r="W12" s="197"/>
      <c r="X12" s="241"/>
      <c r="AB12" s="69"/>
    </row>
    <row r="13" spans="1:28" ht="62.25" customHeight="1" x14ac:dyDescent="0.3">
      <c r="A13" s="138" t="s">
        <v>48</v>
      </c>
      <c r="B13" s="25" t="s">
        <v>49</v>
      </c>
      <c r="C13" s="114" t="s">
        <v>47</v>
      </c>
      <c r="D13" s="115">
        <v>44988</v>
      </c>
      <c r="E13" s="128" t="s">
        <v>50</v>
      </c>
      <c r="F13" s="129">
        <v>46083</v>
      </c>
      <c r="G13" s="123" t="s">
        <v>6</v>
      </c>
      <c r="H13" s="124" t="s">
        <v>6</v>
      </c>
      <c r="I13" s="140" t="s">
        <v>6</v>
      </c>
      <c r="J13" s="109" t="s">
        <v>13</v>
      </c>
      <c r="K13" s="24">
        <v>47</v>
      </c>
      <c r="L13" s="139">
        <f>12*2</f>
        <v>24</v>
      </c>
      <c r="M13" s="25" t="s">
        <v>6</v>
      </c>
      <c r="N13" s="25" t="s">
        <v>6</v>
      </c>
      <c r="O13" s="27">
        <v>0</v>
      </c>
      <c r="P13" s="18" t="s">
        <v>6</v>
      </c>
      <c r="Q13" s="25" t="s">
        <v>6</v>
      </c>
      <c r="R13" s="25" t="s">
        <v>6</v>
      </c>
      <c r="S13" s="25" t="s">
        <v>6</v>
      </c>
      <c r="T13" s="32" t="s">
        <v>6</v>
      </c>
      <c r="U13" s="33">
        <v>0</v>
      </c>
      <c r="V13" s="25" t="s">
        <v>6</v>
      </c>
      <c r="W13" s="25"/>
      <c r="X13" s="34"/>
      <c r="AB13" s="69"/>
    </row>
    <row r="14" spans="1:28" ht="62.25" customHeight="1" x14ac:dyDescent="0.3">
      <c r="A14" s="138" t="s">
        <v>244</v>
      </c>
      <c r="B14" s="25" t="s">
        <v>245</v>
      </c>
      <c r="C14" s="114" t="s">
        <v>246</v>
      </c>
      <c r="D14" s="120">
        <v>45616</v>
      </c>
      <c r="E14" s="128" t="s">
        <v>247</v>
      </c>
      <c r="F14" s="129">
        <v>45796</v>
      </c>
      <c r="G14" s="123">
        <v>6.5000000000000002E-2</v>
      </c>
      <c r="H14" s="124">
        <v>88.81</v>
      </c>
      <c r="I14" s="140">
        <f t="shared" ref="I14:I19" si="0">G14*H14</f>
        <v>5.7726500000000005</v>
      </c>
      <c r="J14" s="109" t="s">
        <v>6</v>
      </c>
      <c r="K14" s="141">
        <v>2100</v>
      </c>
      <c r="L14" s="139" t="s">
        <v>6</v>
      </c>
      <c r="M14" s="25" t="s">
        <v>6</v>
      </c>
      <c r="N14" s="25">
        <v>12</v>
      </c>
      <c r="O14" s="27">
        <f>I14*K14/12+364.34</f>
        <v>1374.55375</v>
      </c>
      <c r="P14" s="18" t="s">
        <v>266</v>
      </c>
      <c r="Q14" s="25" t="s">
        <v>6</v>
      </c>
      <c r="R14" s="25" t="s">
        <v>6</v>
      </c>
      <c r="S14" s="25" t="s">
        <v>6</v>
      </c>
      <c r="T14" s="32" t="s">
        <v>6</v>
      </c>
      <c r="U14" s="33">
        <v>0</v>
      </c>
      <c r="V14" s="25" t="s">
        <v>6</v>
      </c>
      <c r="W14" s="25"/>
      <c r="X14" s="34"/>
      <c r="AB14" s="69"/>
    </row>
    <row r="15" spans="1:28" ht="62.25" customHeight="1" x14ac:dyDescent="0.3">
      <c r="A15" s="138" t="s">
        <v>244</v>
      </c>
      <c r="B15" s="25" t="s">
        <v>269</v>
      </c>
      <c r="C15" s="142" t="s">
        <v>268</v>
      </c>
      <c r="D15" s="120">
        <v>45626</v>
      </c>
      <c r="E15" s="128" t="s">
        <v>243</v>
      </c>
      <c r="F15" s="129">
        <v>45806</v>
      </c>
      <c r="G15" s="123">
        <v>6.5000000000000002E-2</v>
      </c>
      <c r="H15" s="124">
        <v>142.72999999999999</v>
      </c>
      <c r="I15" s="140">
        <f t="shared" si="0"/>
        <v>9.27745</v>
      </c>
      <c r="J15" s="109" t="s">
        <v>6</v>
      </c>
      <c r="K15" s="141">
        <v>700</v>
      </c>
      <c r="L15" s="139" t="s">
        <v>6</v>
      </c>
      <c r="M15" s="25" t="s">
        <v>6</v>
      </c>
      <c r="N15" s="25">
        <v>12</v>
      </c>
      <c r="O15" s="27">
        <f>I15*K15/12+17.74</f>
        <v>558.92458333333332</v>
      </c>
      <c r="P15" s="18" t="s">
        <v>266</v>
      </c>
      <c r="Q15" s="25" t="s">
        <v>6</v>
      </c>
      <c r="R15" s="25" t="s">
        <v>6</v>
      </c>
      <c r="S15" s="25" t="s">
        <v>6</v>
      </c>
      <c r="T15" s="32" t="s">
        <v>6</v>
      </c>
      <c r="U15" s="33">
        <v>0</v>
      </c>
      <c r="V15" s="25" t="s">
        <v>6</v>
      </c>
      <c r="W15" s="25"/>
      <c r="X15" s="34"/>
      <c r="AB15" s="69"/>
    </row>
    <row r="16" spans="1:28" ht="62.25" customHeight="1" x14ac:dyDescent="0.3">
      <c r="A16" s="138" t="s">
        <v>194</v>
      </c>
      <c r="B16" s="25" t="s">
        <v>197</v>
      </c>
      <c r="C16" s="142" t="s">
        <v>195</v>
      </c>
      <c r="D16" s="120">
        <v>45367</v>
      </c>
      <c r="E16" s="128" t="s">
        <v>196</v>
      </c>
      <c r="F16" s="129">
        <v>45396</v>
      </c>
      <c r="G16" s="123">
        <v>7.4999999999999997E-2</v>
      </c>
      <c r="H16" s="124">
        <v>235.27</v>
      </c>
      <c r="I16" s="140">
        <f t="shared" si="0"/>
        <v>17.645250000000001</v>
      </c>
      <c r="J16" s="109"/>
      <c r="K16" s="141">
        <v>1950</v>
      </c>
      <c r="L16" s="139" t="s">
        <v>6</v>
      </c>
      <c r="M16" s="25" t="s">
        <v>6</v>
      </c>
      <c r="N16" s="25">
        <v>1</v>
      </c>
      <c r="O16" s="38">
        <f>(I16*K16)/366*30</f>
        <v>2820.3473360655739</v>
      </c>
      <c r="P16" s="23" t="s">
        <v>266</v>
      </c>
      <c r="Q16" s="36" t="s">
        <v>198</v>
      </c>
      <c r="R16" s="36"/>
      <c r="S16" s="90">
        <v>78000</v>
      </c>
      <c r="T16" s="64">
        <v>1</v>
      </c>
      <c r="U16" s="89">
        <f>S16*8%</f>
        <v>6240</v>
      </c>
      <c r="V16" s="36" t="s">
        <v>266</v>
      </c>
      <c r="W16" s="36"/>
      <c r="X16" s="34"/>
      <c r="AB16" s="69"/>
    </row>
    <row r="17" spans="1:28" ht="62.25" customHeight="1" x14ac:dyDescent="0.3">
      <c r="A17" s="138" t="s">
        <v>194</v>
      </c>
      <c r="B17" s="25" t="s">
        <v>197</v>
      </c>
      <c r="C17" s="142" t="s">
        <v>210</v>
      </c>
      <c r="D17" s="120">
        <v>45374</v>
      </c>
      <c r="E17" s="128" t="s">
        <v>211</v>
      </c>
      <c r="F17" s="129">
        <v>45391</v>
      </c>
      <c r="G17" s="123">
        <v>7.4999999999999997E-2</v>
      </c>
      <c r="H17" s="124">
        <v>235.27</v>
      </c>
      <c r="I17" s="140">
        <f t="shared" si="0"/>
        <v>17.645250000000001</v>
      </c>
      <c r="J17" s="109" t="s">
        <v>6</v>
      </c>
      <c r="K17" s="141">
        <v>8</v>
      </c>
      <c r="L17" s="139" t="s">
        <v>6</v>
      </c>
      <c r="M17" s="25" t="s">
        <v>6</v>
      </c>
      <c r="N17" s="25">
        <v>1</v>
      </c>
      <c r="O17" s="27">
        <f>I17*K17*18/366</f>
        <v>6.9423934426229517</v>
      </c>
      <c r="P17" s="18" t="s">
        <v>266</v>
      </c>
      <c r="Q17" s="25" t="s">
        <v>6</v>
      </c>
      <c r="R17" s="25" t="s">
        <v>6</v>
      </c>
      <c r="S17" s="92" t="s">
        <v>6</v>
      </c>
      <c r="T17" s="32" t="s">
        <v>6</v>
      </c>
      <c r="U17" s="33">
        <v>0</v>
      </c>
      <c r="V17" s="36" t="s">
        <v>6</v>
      </c>
      <c r="W17" s="25"/>
      <c r="X17" s="82"/>
      <c r="AB17" s="69"/>
    </row>
    <row r="18" spans="1:28" ht="64.2" customHeight="1" x14ac:dyDescent="0.3">
      <c r="A18" s="35" t="s">
        <v>60</v>
      </c>
      <c r="B18" s="36" t="s">
        <v>70</v>
      </c>
      <c r="C18" s="143" t="s">
        <v>69</v>
      </c>
      <c r="D18" s="144">
        <v>44470</v>
      </c>
      <c r="E18" s="128" t="s">
        <v>71</v>
      </c>
      <c r="F18" s="129">
        <v>45565</v>
      </c>
      <c r="G18" s="123">
        <v>6.5000000000000002E-2</v>
      </c>
      <c r="H18" s="124">
        <v>81.680000000000007</v>
      </c>
      <c r="I18" s="131">
        <f t="shared" si="0"/>
        <v>5.3092000000000006</v>
      </c>
      <c r="J18" s="18" t="s">
        <v>6</v>
      </c>
      <c r="K18" s="141">
        <v>300</v>
      </c>
      <c r="L18" s="145" t="s">
        <v>6</v>
      </c>
      <c r="M18" s="26">
        <v>6090.17</v>
      </c>
      <c r="N18" s="28">
        <v>12</v>
      </c>
      <c r="O18" s="27">
        <f>((35+(265*0.5))*I18+M18)*8/12</f>
        <v>4652.9740000000002</v>
      </c>
      <c r="P18" s="18" t="s">
        <v>266</v>
      </c>
      <c r="Q18" s="46" t="s">
        <v>10</v>
      </c>
      <c r="R18" s="87">
        <v>74124</v>
      </c>
      <c r="S18" s="28">
        <v>73448</v>
      </c>
      <c r="T18" s="61">
        <v>12</v>
      </c>
      <c r="U18" s="65">
        <v>1482.48</v>
      </c>
      <c r="V18" s="23" t="s">
        <v>266</v>
      </c>
      <c r="W18" s="88"/>
      <c r="X18" s="84" t="s">
        <v>107</v>
      </c>
      <c r="AA18" s="72"/>
      <c r="AB18" s="69"/>
    </row>
    <row r="19" spans="1:28" ht="64.2" customHeight="1" thickBot="1" x14ac:dyDescent="0.35">
      <c r="A19" s="35" t="s">
        <v>60</v>
      </c>
      <c r="B19" s="36" t="s">
        <v>230</v>
      </c>
      <c r="C19" s="143" t="s">
        <v>69</v>
      </c>
      <c r="D19" s="144">
        <v>45566</v>
      </c>
      <c r="E19" s="128" t="s">
        <v>231</v>
      </c>
      <c r="F19" s="129">
        <v>45644</v>
      </c>
      <c r="G19" s="123">
        <v>6.5000000000000002E-2</v>
      </c>
      <c r="H19" s="124">
        <v>81.680000000000007</v>
      </c>
      <c r="I19" s="131">
        <f t="shared" si="0"/>
        <v>5.3092000000000006</v>
      </c>
      <c r="J19" s="18" t="s">
        <v>6</v>
      </c>
      <c r="K19" s="141">
        <v>300</v>
      </c>
      <c r="L19" s="145" t="s">
        <v>6</v>
      </c>
      <c r="M19" s="26">
        <v>6090.17</v>
      </c>
      <c r="N19" s="28">
        <v>12</v>
      </c>
      <c r="O19" s="27">
        <f>(((35+(265*0.5))*I19+M19)*2/12)+347.16</f>
        <v>1510.4035000000001</v>
      </c>
      <c r="P19" s="18" t="s">
        <v>266</v>
      </c>
      <c r="Q19" s="46" t="s">
        <v>10</v>
      </c>
      <c r="R19" s="87">
        <v>25884.5</v>
      </c>
      <c r="S19" s="28">
        <v>73448</v>
      </c>
      <c r="T19" s="61">
        <v>12</v>
      </c>
      <c r="U19" s="65">
        <f>R19*0.02</f>
        <v>517.69000000000005</v>
      </c>
      <c r="V19" s="23" t="s">
        <v>266</v>
      </c>
      <c r="W19" s="93"/>
      <c r="X19" s="84"/>
      <c r="AA19" s="72"/>
      <c r="AB19" s="69"/>
    </row>
    <row r="20" spans="1:28" ht="78" customHeight="1" x14ac:dyDescent="0.3">
      <c r="A20" s="35" t="s">
        <v>58</v>
      </c>
      <c r="B20" s="146" t="s">
        <v>73</v>
      </c>
      <c r="C20" s="147" t="s">
        <v>72</v>
      </c>
      <c r="D20" s="148">
        <v>44375</v>
      </c>
      <c r="E20" s="128" t="s">
        <v>93</v>
      </c>
      <c r="F20" s="29">
        <v>53873</v>
      </c>
      <c r="G20" s="30" t="s">
        <v>6</v>
      </c>
      <c r="H20" s="31" t="s">
        <v>6</v>
      </c>
      <c r="I20" s="17" t="s">
        <v>6</v>
      </c>
      <c r="J20" s="23" t="s">
        <v>6</v>
      </c>
      <c r="K20" s="24" t="s">
        <v>6</v>
      </c>
      <c r="L20" s="37" t="s">
        <v>6</v>
      </c>
      <c r="M20" s="149" t="s">
        <v>6</v>
      </c>
      <c r="N20" s="23" t="s">
        <v>6</v>
      </c>
      <c r="O20" s="38">
        <v>0</v>
      </c>
      <c r="P20" s="23" t="s">
        <v>6</v>
      </c>
      <c r="Q20" s="42">
        <v>8.3353999999999998E-2</v>
      </c>
      <c r="R20" s="48">
        <f>29700+25250</f>
        <v>54950</v>
      </c>
      <c r="S20" s="62">
        <v>60000</v>
      </c>
      <c r="T20" s="64">
        <v>6</v>
      </c>
      <c r="U20" s="65">
        <f>S20*Q20</f>
        <v>5001.24</v>
      </c>
      <c r="V20" s="22" t="s">
        <v>266</v>
      </c>
      <c r="W20" s="49"/>
      <c r="X20" s="47" t="s">
        <v>108</v>
      </c>
      <c r="AB20" s="69"/>
    </row>
    <row r="21" spans="1:28" ht="49.8" customHeight="1" x14ac:dyDescent="0.3">
      <c r="A21" s="118" t="s">
        <v>138</v>
      </c>
      <c r="B21" s="108" t="s">
        <v>140</v>
      </c>
      <c r="C21" s="150" t="s">
        <v>139</v>
      </c>
      <c r="D21" s="144">
        <v>45146</v>
      </c>
      <c r="E21" s="151" t="s">
        <v>141</v>
      </c>
      <c r="F21" s="122">
        <v>46241</v>
      </c>
      <c r="G21" s="123">
        <v>5.5E-2</v>
      </c>
      <c r="H21" s="31">
        <v>88.81</v>
      </c>
      <c r="I21" s="131">
        <f t="shared" ref="I21:I26" si="1">G21*H21</f>
        <v>4.8845499999999999</v>
      </c>
      <c r="J21" s="105" t="s">
        <v>6</v>
      </c>
      <c r="K21" s="141">
        <v>6</v>
      </c>
      <c r="L21" s="152" t="s">
        <v>6</v>
      </c>
      <c r="M21" s="125" t="s">
        <v>6</v>
      </c>
      <c r="N21" s="105">
        <v>1</v>
      </c>
      <c r="O21" s="107">
        <f>I21*K21</f>
        <v>29.307299999999998</v>
      </c>
      <c r="P21" s="105" t="s">
        <v>266</v>
      </c>
      <c r="Q21" s="19" t="s">
        <v>6</v>
      </c>
      <c r="R21" s="60" t="s">
        <v>6</v>
      </c>
      <c r="S21" s="66" t="s">
        <v>6</v>
      </c>
      <c r="T21" s="63" t="s">
        <v>6</v>
      </c>
      <c r="U21" s="67">
        <v>0</v>
      </c>
      <c r="V21" s="22" t="s">
        <v>6</v>
      </c>
      <c r="W21" s="49"/>
      <c r="X21" s="58"/>
      <c r="AA21" s="72"/>
      <c r="AB21" s="69"/>
    </row>
    <row r="22" spans="1:28" ht="31.8" customHeight="1" x14ac:dyDescent="0.3">
      <c r="A22" s="194" t="s">
        <v>117</v>
      </c>
      <c r="B22" s="243" t="s">
        <v>118</v>
      </c>
      <c r="C22" s="245" t="s">
        <v>119</v>
      </c>
      <c r="D22" s="212">
        <v>44911</v>
      </c>
      <c r="E22" s="202" t="s">
        <v>120</v>
      </c>
      <c r="F22" s="204">
        <v>46006</v>
      </c>
      <c r="G22" s="123">
        <v>5.5E-2</v>
      </c>
      <c r="H22" s="31">
        <v>67.02</v>
      </c>
      <c r="I22" s="131">
        <f t="shared" si="1"/>
        <v>3.6860999999999997</v>
      </c>
      <c r="J22" s="189" t="s">
        <v>6</v>
      </c>
      <c r="K22" s="141">
        <v>496.06</v>
      </c>
      <c r="L22" s="189" t="s">
        <v>6</v>
      </c>
      <c r="M22" s="219">
        <v>969.32</v>
      </c>
      <c r="N22" s="189">
        <v>12</v>
      </c>
      <c r="O22" s="206">
        <f>((I22*K22)+(I23*K23)+M22)</f>
        <v>2990.2796165</v>
      </c>
      <c r="P22" s="189" t="s">
        <v>266</v>
      </c>
      <c r="Q22" s="189">
        <v>3.0000000000000001E-3</v>
      </c>
      <c r="R22" s="231">
        <v>784171.82</v>
      </c>
      <c r="S22" s="235">
        <v>600000</v>
      </c>
      <c r="T22" s="237">
        <v>12</v>
      </c>
      <c r="U22" s="239">
        <f>R22*Q22</f>
        <v>2352.5154600000001</v>
      </c>
      <c r="V22" s="257" t="s">
        <v>266</v>
      </c>
      <c r="W22" s="196"/>
      <c r="X22" s="240" t="s">
        <v>121</v>
      </c>
      <c r="AB22" s="69"/>
    </row>
    <row r="23" spans="1:28" ht="27.6" customHeight="1" thickBot="1" x14ac:dyDescent="0.35">
      <c r="A23" s="195"/>
      <c r="B23" s="244"/>
      <c r="C23" s="246"/>
      <c r="D23" s="213"/>
      <c r="E23" s="203"/>
      <c r="F23" s="205"/>
      <c r="G23" s="154">
        <v>2.75E-2</v>
      </c>
      <c r="H23" s="31">
        <v>67.02</v>
      </c>
      <c r="I23" s="131">
        <f t="shared" si="1"/>
        <v>1.8430499999999999</v>
      </c>
      <c r="J23" s="190"/>
      <c r="K23" s="141">
        <v>104.41</v>
      </c>
      <c r="L23" s="190"/>
      <c r="M23" s="220"/>
      <c r="N23" s="190"/>
      <c r="O23" s="207"/>
      <c r="P23" s="190"/>
      <c r="Q23" s="190"/>
      <c r="R23" s="234"/>
      <c r="S23" s="236"/>
      <c r="T23" s="238"/>
      <c r="U23" s="191"/>
      <c r="V23" s="196"/>
      <c r="W23" s="226"/>
      <c r="X23" s="256"/>
      <c r="AB23" s="69"/>
    </row>
    <row r="24" spans="1:28" ht="50.4" customHeight="1" x14ac:dyDescent="0.3">
      <c r="A24" s="126" t="s">
        <v>240</v>
      </c>
      <c r="B24" s="109" t="s">
        <v>188</v>
      </c>
      <c r="C24" s="147" t="s">
        <v>65</v>
      </c>
      <c r="D24" s="153">
        <v>45323</v>
      </c>
      <c r="E24" s="128" t="s">
        <v>189</v>
      </c>
      <c r="F24" s="129">
        <v>46418</v>
      </c>
      <c r="G24" s="154">
        <v>6.5000000000000002E-2</v>
      </c>
      <c r="H24" s="31">
        <v>142.72999999999999</v>
      </c>
      <c r="I24" s="131">
        <f t="shared" si="1"/>
        <v>9.27745</v>
      </c>
      <c r="J24" s="18" t="s">
        <v>6</v>
      </c>
      <c r="K24" s="141">
        <v>3038</v>
      </c>
      <c r="L24" s="18" t="s">
        <v>6</v>
      </c>
      <c r="M24" s="26">
        <v>30431.85</v>
      </c>
      <c r="N24" s="18">
        <v>12</v>
      </c>
      <c r="O24" s="27">
        <f>(I24*K24+M24)*11/12</f>
        <v>53732.014508333326</v>
      </c>
      <c r="P24" s="18" t="s">
        <v>266</v>
      </c>
      <c r="Q24" s="18">
        <v>0.25012800000000002</v>
      </c>
      <c r="R24" s="87">
        <v>17365</v>
      </c>
      <c r="S24" s="95">
        <f>22550*11/12</f>
        <v>20670.833333333332</v>
      </c>
      <c r="T24" s="64">
        <v>12</v>
      </c>
      <c r="U24" s="65">
        <f>S24*Q24</f>
        <v>5170.3541999999998</v>
      </c>
      <c r="V24" s="36" t="s">
        <v>266</v>
      </c>
      <c r="W24" s="36"/>
      <c r="X24" s="96"/>
      <c r="AB24" s="69"/>
    </row>
    <row r="25" spans="1:28" ht="61.8" customHeight="1" thickBot="1" x14ac:dyDescent="0.35">
      <c r="A25" s="155" t="s">
        <v>240</v>
      </c>
      <c r="B25" s="156" t="s">
        <v>241</v>
      </c>
      <c r="C25" s="147" t="s">
        <v>242</v>
      </c>
      <c r="D25" s="157">
        <v>45622</v>
      </c>
      <c r="E25" s="151" t="s">
        <v>243</v>
      </c>
      <c r="F25" s="158">
        <v>46167</v>
      </c>
      <c r="G25" s="154">
        <v>6.5000000000000002E-2</v>
      </c>
      <c r="H25" s="124">
        <v>88.81</v>
      </c>
      <c r="I25" s="131">
        <f t="shared" si="1"/>
        <v>5.7726500000000005</v>
      </c>
      <c r="J25" s="18" t="s">
        <v>6</v>
      </c>
      <c r="K25" s="141">
        <v>400</v>
      </c>
      <c r="L25" s="19" t="s">
        <v>6</v>
      </c>
      <c r="M25" s="159" t="s">
        <v>6</v>
      </c>
      <c r="N25" s="19">
        <v>12</v>
      </c>
      <c r="O25" s="20">
        <f>I25*K25/12+31.54</f>
        <v>223.9616666666667</v>
      </c>
      <c r="P25" s="19" t="s">
        <v>266</v>
      </c>
      <c r="Q25" s="19" t="s">
        <v>6</v>
      </c>
      <c r="R25" s="86" t="s">
        <v>6</v>
      </c>
      <c r="S25" s="95" t="s">
        <v>6</v>
      </c>
      <c r="T25" s="64" t="s">
        <v>6</v>
      </c>
      <c r="U25" s="65">
        <v>0</v>
      </c>
      <c r="V25" s="36" t="s">
        <v>6</v>
      </c>
      <c r="W25" s="36"/>
      <c r="X25" s="96"/>
      <c r="AB25" s="69"/>
    </row>
    <row r="26" spans="1:28" ht="36" customHeight="1" x14ac:dyDescent="0.3">
      <c r="A26" s="194" t="s">
        <v>57</v>
      </c>
      <c r="B26" s="196" t="s">
        <v>74</v>
      </c>
      <c r="C26" s="198" t="s">
        <v>94</v>
      </c>
      <c r="D26" s="212">
        <v>44250</v>
      </c>
      <c r="E26" s="202" t="s">
        <v>95</v>
      </c>
      <c r="F26" s="204">
        <v>45344</v>
      </c>
      <c r="G26" s="30">
        <v>5.5E-2</v>
      </c>
      <c r="H26" s="31">
        <v>88.81</v>
      </c>
      <c r="I26" s="131">
        <f t="shared" si="1"/>
        <v>4.8845499999999999</v>
      </c>
      <c r="J26" s="18"/>
      <c r="K26" s="141">
        <v>325</v>
      </c>
      <c r="L26" s="189">
        <v>200</v>
      </c>
      <c r="M26" s="189" t="s">
        <v>6</v>
      </c>
      <c r="N26" s="227">
        <v>12</v>
      </c>
      <c r="O26" s="206">
        <f>((I26*K26)+(J27*L26))/12+105.7</f>
        <v>250.98989583333332</v>
      </c>
      <c r="P26" s="189" t="s">
        <v>266</v>
      </c>
      <c r="Q26" s="189" t="s">
        <v>6</v>
      </c>
      <c r="R26" s="218" t="s">
        <v>6</v>
      </c>
      <c r="S26" s="224" t="s">
        <v>6</v>
      </c>
      <c r="T26" s="225"/>
      <c r="U26" s="191">
        <v>0</v>
      </c>
      <c r="V26" s="224" t="s">
        <v>6</v>
      </c>
      <c r="W26" s="226"/>
      <c r="X26" s="222"/>
    </row>
    <row r="27" spans="1:28" ht="34.200000000000003" customHeight="1" thickBot="1" x14ac:dyDescent="0.35">
      <c r="A27" s="195"/>
      <c r="B27" s="197"/>
      <c r="C27" s="199"/>
      <c r="D27" s="213"/>
      <c r="E27" s="203"/>
      <c r="F27" s="205"/>
      <c r="G27" s="30">
        <v>5.5E-2</v>
      </c>
      <c r="H27" s="124">
        <v>18.170000000000002</v>
      </c>
      <c r="I27" s="131"/>
      <c r="J27" s="18">
        <v>0.78</v>
      </c>
      <c r="K27" s="141"/>
      <c r="L27" s="190"/>
      <c r="M27" s="190"/>
      <c r="N27" s="228"/>
      <c r="O27" s="207"/>
      <c r="P27" s="190"/>
      <c r="Q27" s="190"/>
      <c r="R27" s="221"/>
      <c r="S27" s="221"/>
      <c r="T27" s="217"/>
      <c r="U27" s="192"/>
      <c r="V27" s="221"/>
      <c r="W27" s="197"/>
      <c r="X27" s="223"/>
    </row>
    <row r="28" spans="1:28" ht="34.200000000000003" customHeight="1" x14ac:dyDescent="0.3">
      <c r="A28" s="194" t="s">
        <v>57</v>
      </c>
      <c r="B28" s="196" t="s">
        <v>286</v>
      </c>
      <c r="C28" s="198" t="s">
        <v>94</v>
      </c>
      <c r="D28" s="212">
        <v>45345</v>
      </c>
      <c r="E28" s="202" t="s">
        <v>215</v>
      </c>
      <c r="F28" s="204">
        <v>46440</v>
      </c>
      <c r="G28" s="30">
        <v>5.5E-2</v>
      </c>
      <c r="H28" s="31">
        <v>88.81</v>
      </c>
      <c r="I28" s="131">
        <f t="shared" ref="I28" si="2">G28*H28</f>
        <v>4.8845499999999999</v>
      </c>
      <c r="J28" s="18"/>
      <c r="K28" s="141">
        <v>325</v>
      </c>
      <c r="L28" s="189">
        <v>200</v>
      </c>
      <c r="M28" s="189" t="s">
        <v>6</v>
      </c>
      <c r="N28" s="227">
        <v>12</v>
      </c>
      <c r="O28" s="206">
        <f>((I28*K28)+(J29*L28))*10/12+34.18</f>
        <v>1487.0789583333333</v>
      </c>
      <c r="P28" s="189" t="s">
        <v>266</v>
      </c>
      <c r="Q28" s="189" t="s">
        <v>6</v>
      </c>
      <c r="R28" s="189" t="s">
        <v>6</v>
      </c>
      <c r="S28" s="189" t="s">
        <v>6</v>
      </c>
      <c r="T28" s="189" t="s">
        <v>6</v>
      </c>
      <c r="U28" s="191">
        <v>0</v>
      </c>
      <c r="V28" s="189" t="s">
        <v>6</v>
      </c>
      <c r="W28" s="189"/>
      <c r="X28" s="193"/>
    </row>
    <row r="29" spans="1:28" ht="43.8" customHeight="1" x14ac:dyDescent="0.3">
      <c r="A29" s="195"/>
      <c r="B29" s="197"/>
      <c r="C29" s="199"/>
      <c r="D29" s="213"/>
      <c r="E29" s="203"/>
      <c r="F29" s="205"/>
      <c r="G29" s="30">
        <v>5.5E-2</v>
      </c>
      <c r="H29" s="124">
        <v>18.170000000000002</v>
      </c>
      <c r="I29" s="131"/>
      <c r="J29" s="18">
        <v>0.78</v>
      </c>
      <c r="K29" s="141"/>
      <c r="L29" s="190"/>
      <c r="M29" s="190"/>
      <c r="N29" s="228"/>
      <c r="O29" s="207"/>
      <c r="P29" s="190"/>
      <c r="Q29" s="190">
        <v>5.0000000000000001E-3</v>
      </c>
      <c r="R29" s="190"/>
      <c r="S29" s="190">
        <v>600000</v>
      </c>
      <c r="T29" s="190">
        <v>6</v>
      </c>
      <c r="U29" s="192">
        <f>Q29*R29</f>
        <v>0</v>
      </c>
      <c r="V29" s="190"/>
      <c r="W29" s="190"/>
      <c r="X29" s="193"/>
    </row>
    <row r="30" spans="1:28" ht="43.8" customHeight="1" thickBot="1" x14ac:dyDescent="0.35">
      <c r="A30" s="126" t="s">
        <v>292</v>
      </c>
      <c r="B30" s="25" t="s">
        <v>293</v>
      </c>
      <c r="C30" s="114" t="s">
        <v>294</v>
      </c>
      <c r="D30" s="148">
        <v>44473</v>
      </c>
      <c r="E30" s="116" t="s">
        <v>295</v>
      </c>
      <c r="F30" s="29">
        <v>44946</v>
      </c>
      <c r="G30" s="30" t="s">
        <v>6</v>
      </c>
      <c r="H30" s="124" t="s">
        <v>6</v>
      </c>
      <c r="I30" s="131" t="s">
        <v>6</v>
      </c>
      <c r="J30" s="18" t="s">
        <v>6</v>
      </c>
      <c r="K30" s="141" t="s">
        <v>6</v>
      </c>
      <c r="L30" s="18" t="s">
        <v>6</v>
      </c>
      <c r="M30" s="18" t="s">
        <v>6</v>
      </c>
      <c r="N30" s="28" t="s">
        <v>6</v>
      </c>
      <c r="O30" s="27">
        <v>0</v>
      </c>
      <c r="P30" s="18" t="s">
        <v>6</v>
      </c>
      <c r="Q30" s="52">
        <v>5.0000000000000001E-3</v>
      </c>
      <c r="R30" s="99"/>
      <c r="S30" s="28">
        <v>600000</v>
      </c>
      <c r="T30" s="18">
        <v>6</v>
      </c>
      <c r="U30" s="68">
        <f>S30*0.005</f>
        <v>3000</v>
      </c>
      <c r="V30" s="99"/>
      <c r="W30" s="18"/>
      <c r="X30" s="47" t="s">
        <v>109</v>
      </c>
    </row>
    <row r="31" spans="1:28" ht="43.8" customHeight="1" thickBot="1" x14ac:dyDescent="0.35">
      <c r="A31" s="126" t="s">
        <v>225</v>
      </c>
      <c r="B31" s="25" t="s">
        <v>226</v>
      </c>
      <c r="C31" s="127" t="s">
        <v>227</v>
      </c>
      <c r="D31" s="157">
        <v>45546</v>
      </c>
      <c r="E31" s="128" t="s">
        <v>228</v>
      </c>
      <c r="F31" s="129">
        <v>46091</v>
      </c>
      <c r="G31" s="123">
        <v>5.5E-2</v>
      </c>
      <c r="H31" s="124">
        <v>128.80000000000001</v>
      </c>
      <c r="I31" s="131">
        <f t="shared" ref="I31:I37" si="3">G31*H31</f>
        <v>7.0840000000000005</v>
      </c>
      <c r="J31" s="131">
        <f>G31*18.17</f>
        <v>0.99935000000000007</v>
      </c>
      <c r="K31" s="141">
        <v>38</v>
      </c>
      <c r="L31" s="141">
        <v>3978</v>
      </c>
      <c r="M31" s="26">
        <f>8828.89+3965.01</f>
        <v>12793.9</v>
      </c>
      <c r="N31" s="28">
        <v>12</v>
      </c>
      <c r="O31" s="27">
        <f>((I31*K31)+(J31*L31)+M31)*3/12+931.07</f>
        <v>5190.6965749999999</v>
      </c>
      <c r="P31" s="18" t="s">
        <v>266</v>
      </c>
      <c r="Q31" s="52" t="s">
        <v>6</v>
      </c>
      <c r="R31" s="81" t="s">
        <v>6</v>
      </c>
      <c r="S31" s="28" t="s">
        <v>6</v>
      </c>
      <c r="T31" s="61" t="s">
        <v>6</v>
      </c>
      <c r="U31" s="68">
        <v>0</v>
      </c>
      <c r="V31" s="42" t="s">
        <v>6</v>
      </c>
      <c r="W31" s="45"/>
      <c r="X31" s="47"/>
    </row>
    <row r="32" spans="1:28" ht="43.8" customHeight="1" thickBot="1" x14ac:dyDescent="0.35">
      <c r="A32" s="114" t="s">
        <v>182</v>
      </c>
      <c r="B32" s="36" t="s">
        <v>183</v>
      </c>
      <c r="C32" s="127" t="s">
        <v>184</v>
      </c>
      <c r="D32" s="144">
        <v>45309</v>
      </c>
      <c r="E32" s="128" t="s">
        <v>185</v>
      </c>
      <c r="F32" s="129">
        <v>45384</v>
      </c>
      <c r="G32" s="123">
        <v>7.4999999999999997E-2</v>
      </c>
      <c r="H32" s="124">
        <v>235.27</v>
      </c>
      <c r="I32" s="131">
        <f t="shared" si="3"/>
        <v>17.645250000000001</v>
      </c>
      <c r="J32" s="18" t="s">
        <v>6</v>
      </c>
      <c r="K32" s="141">
        <v>213</v>
      </c>
      <c r="L32" s="145" t="s">
        <v>6</v>
      </c>
      <c r="M32" s="18" t="s">
        <v>6</v>
      </c>
      <c r="N32" s="28">
        <v>1</v>
      </c>
      <c r="O32" s="27">
        <f>I32*K32*76/366</f>
        <v>780.4407295081968</v>
      </c>
      <c r="P32" s="18" t="s">
        <v>266</v>
      </c>
      <c r="Q32" s="52" t="s">
        <v>6</v>
      </c>
      <c r="R32" s="81"/>
      <c r="S32" s="28" t="s">
        <v>6</v>
      </c>
      <c r="T32" s="61" t="s">
        <v>6</v>
      </c>
      <c r="U32" s="68">
        <v>0</v>
      </c>
      <c r="V32" s="42" t="s">
        <v>6</v>
      </c>
      <c r="W32" s="45"/>
      <c r="X32" s="47"/>
    </row>
    <row r="33" spans="1:31" ht="43.8" customHeight="1" thickBot="1" x14ac:dyDescent="0.35">
      <c r="A33" s="114" t="s">
        <v>182</v>
      </c>
      <c r="B33" s="36" t="s">
        <v>183</v>
      </c>
      <c r="C33" s="127" t="s">
        <v>184</v>
      </c>
      <c r="D33" s="144">
        <v>45385</v>
      </c>
      <c r="E33" s="128" t="s">
        <v>199</v>
      </c>
      <c r="F33" s="129">
        <v>45415</v>
      </c>
      <c r="G33" s="123">
        <v>7.4999999999999997E-2</v>
      </c>
      <c r="H33" s="124">
        <v>235.27</v>
      </c>
      <c r="I33" s="131">
        <f t="shared" si="3"/>
        <v>17.645250000000001</v>
      </c>
      <c r="J33" s="18" t="s">
        <v>6</v>
      </c>
      <c r="K33" s="141">
        <v>213</v>
      </c>
      <c r="L33" s="145" t="s">
        <v>6</v>
      </c>
      <c r="M33" s="18" t="s">
        <v>6</v>
      </c>
      <c r="N33" s="28">
        <v>1</v>
      </c>
      <c r="O33" s="27">
        <f>I33*K33/12</f>
        <v>313.20318750000001</v>
      </c>
      <c r="P33" s="18" t="s">
        <v>266</v>
      </c>
      <c r="Q33" s="52" t="s">
        <v>6</v>
      </c>
      <c r="R33" s="81"/>
      <c r="S33" s="28" t="s">
        <v>6</v>
      </c>
      <c r="T33" s="61" t="s">
        <v>6</v>
      </c>
      <c r="U33" s="68">
        <v>0</v>
      </c>
      <c r="V33" s="42" t="s">
        <v>6</v>
      </c>
      <c r="W33" s="45"/>
      <c r="X33" s="47"/>
    </row>
    <row r="34" spans="1:31" ht="68.400000000000006" customHeight="1" thickBot="1" x14ac:dyDescent="0.35">
      <c r="A34" s="114" t="s">
        <v>190</v>
      </c>
      <c r="B34" s="36" t="s">
        <v>191</v>
      </c>
      <c r="C34" s="127" t="s">
        <v>192</v>
      </c>
      <c r="D34" s="144">
        <v>45284</v>
      </c>
      <c r="E34" s="128" t="s">
        <v>9</v>
      </c>
      <c r="F34" s="129">
        <v>46379</v>
      </c>
      <c r="G34" s="123">
        <v>6.5000000000000002E-2</v>
      </c>
      <c r="H34" s="124">
        <v>235.27</v>
      </c>
      <c r="I34" s="131">
        <f t="shared" si="3"/>
        <v>15.29255</v>
      </c>
      <c r="J34" s="18" t="s">
        <v>6</v>
      </c>
      <c r="K34" s="141">
        <v>26.08</v>
      </c>
      <c r="L34" s="145" t="s">
        <v>6</v>
      </c>
      <c r="M34" s="26">
        <v>1826.75</v>
      </c>
      <c r="N34" s="28">
        <v>6</v>
      </c>
      <c r="O34" s="27">
        <f>(I34*K34+M34)</f>
        <v>2225.5797039999998</v>
      </c>
      <c r="P34" s="18" t="s">
        <v>266</v>
      </c>
      <c r="Q34" s="52" t="s">
        <v>193</v>
      </c>
      <c r="R34" s="81">
        <f>18367+51124</f>
        <v>69491</v>
      </c>
      <c r="S34" s="28">
        <v>25000</v>
      </c>
      <c r="T34" s="61">
        <v>6</v>
      </c>
      <c r="U34" s="68">
        <f>R34*0.004</f>
        <v>277.964</v>
      </c>
      <c r="V34" s="42" t="s">
        <v>266</v>
      </c>
      <c r="W34" s="45"/>
      <c r="X34" s="47"/>
    </row>
    <row r="35" spans="1:31" ht="43.8" customHeight="1" thickBot="1" x14ac:dyDescent="0.35">
      <c r="A35" s="114" t="s">
        <v>212</v>
      </c>
      <c r="B35" s="36" t="s">
        <v>297</v>
      </c>
      <c r="C35" s="127" t="s">
        <v>213</v>
      </c>
      <c r="D35" s="144">
        <v>45418</v>
      </c>
      <c r="E35" s="128" t="s">
        <v>214</v>
      </c>
      <c r="F35" s="129">
        <v>45431</v>
      </c>
      <c r="G35" s="123">
        <v>7.4999999999999997E-2</v>
      </c>
      <c r="H35" s="124">
        <v>235.27</v>
      </c>
      <c r="I35" s="131">
        <f t="shared" si="3"/>
        <v>17.645250000000001</v>
      </c>
      <c r="J35" s="18" t="s">
        <v>6</v>
      </c>
      <c r="K35" s="141">
        <v>777</v>
      </c>
      <c r="L35" s="145" t="s">
        <v>6</v>
      </c>
      <c r="M35" s="26" t="s">
        <v>6</v>
      </c>
      <c r="N35" s="28">
        <v>1</v>
      </c>
      <c r="O35" s="27">
        <f>I35*K35*14/366</f>
        <v>524.43997131147546</v>
      </c>
      <c r="P35" s="18" t="s">
        <v>266</v>
      </c>
      <c r="Q35" s="52" t="s">
        <v>6</v>
      </c>
      <c r="R35" s="81" t="s">
        <v>6</v>
      </c>
      <c r="S35" s="28" t="s">
        <v>6</v>
      </c>
      <c r="T35" s="61" t="s">
        <v>6</v>
      </c>
      <c r="U35" s="68">
        <v>0</v>
      </c>
      <c r="V35" s="42" t="s">
        <v>6</v>
      </c>
      <c r="W35" s="45"/>
      <c r="X35" s="47"/>
    </row>
    <row r="36" spans="1:31" ht="43.8" customHeight="1" thickBot="1" x14ac:dyDescent="0.35">
      <c r="A36" s="114" t="s">
        <v>212</v>
      </c>
      <c r="B36" s="36" t="s">
        <v>298</v>
      </c>
      <c r="C36" s="127" t="s">
        <v>262</v>
      </c>
      <c r="D36" s="144">
        <v>45635</v>
      </c>
      <c r="E36" s="128" t="s">
        <v>263</v>
      </c>
      <c r="F36" s="129">
        <v>45648</v>
      </c>
      <c r="G36" s="123">
        <v>7.4999999999999997E-2</v>
      </c>
      <c r="H36" s="124">
        <v>235.27</v>
      </c>
      <c r="I36" s="131">
        <f t="shared" si="3"/>
        <v>17.645250000000001</v>
      </c>
      <c r="J36" s="18" t="s">
        <v>6</v>
      </c>
      <c r="K36" s="141">
        <v>777</v>
      </c>
      <c r="L36" s="145" t="s">
        <v>6</v>
      </c>
      <c r="M36" s="26" t="s">
        <v>6</v>
      </c>
      <c r="N36" s="28">
        <v>1</v>
      </c>
      <c r="O36" s="27">
        <f>I36*K36*14/366</f>
        <v>524.43997131147546</v>
      </c>
      <c r="P36" s="18" t="s">
        <v>266</v>
      </c>
      <c r="Q36" s="52" t="s">
        <v>6</v>
      </c>
      <c r="R36" s="81" t="s">
        <v>6</v>
      </c>
      <c r="S36" s="28" t="s">
        <v>6</v>
      </c>
      <c r="T36" s="61" t="s">
        <v>6</v>
      </c>
      <c r="U36" s="68">
        <v>0</v>
      </c>
      <c r="V36" s="42" t="s">
        <v>6</v>
      </c>
      <c r="W36" s="45"/>
      <c r="X36" s="47"/>
    </row>
    <row r="37" spans="1:31" ht="43.8" customHeight="1" thickBot="1" x14ac:dyDescent="0.35">
      <c r="A37" s="114" t="s">
        <v>287</v>
      </c>
      <c r="B37" s="36" t="s">
        <v>288</v>
      </c>
      <c r="C37" s="127" t="s">
        <v>289</v>
      </c>
      <c r="D37" s="144">
        <v>45542</v>
      </c>
      <c r="E37" s="128" t="s">
        <v>290</v>
      </c>
      <c r="F37" s="129">
        <v>46636</v>
      </c>
      <c r="G37" s="123">
        <v>5.5E-2</v>
      </c>
      <c r="H37" s="124">
        <v>88.81</v>
      </c>
      <c r="I37" s="131">
        <f t="shared" si="3"/>
        <v>4.8845499999999999</v>
      </c>
      <c r="J37" s="18" t="s">
        <v>6</v>
      </c>
      <c r="K37" s="141">
        <v>1820</v>
      </c>
      <c r="L37" s="145" t="s">
        <v>6</v>
      </c>
      <c r="M37" s="26">
        <v>29396.71</v>
      </c>
      <c r="N37" s="28">
        <v>6</v>
      </c>
      <c r="O37" s="27">
        <f>((I37*K37)+M37)*118/366</f>
        <v>12343.76431147541</v>
      </c>
      <c r="P37" s="18" t="s">
        <v>266</v>
      </c>
      <c r="Q37" s="103" t="s">
        <v>291</v>
      </c>
      <c r="R37" s="81">
        <v>0</v>
      </c>
      <c r="S37" s="28" t="s">
        <v>6</v>
      </c>
      <c r="T37" s="61">
        <v>6</v>
      </c>
      <c r="U37" s="68">
        <v>0</v>
      </c>
      <c r="V37" s="42" t="s">
        <v>6</v>
      </c>
      <c r="W37" s="45"/>
      <c r="X37" s="47"/>
    </row>
    <row r="38" spans="1:31" ht="43.8" customHeight="1" thickBot="1" x14ac:dyDescent="0.35">
      <c r="A38" s="35" t="s">
        <v>17</v>
      </c>
      <c r="B38" s="36" t="s">
        <v>110</v>
      </c>
      <c r="C38" s="127" t="s">
        <v>111</v>
      </c>
      <c r="D38" s="120">
        <v>44794</v>
      </c>
      <c r="E38" s="128" t="s">
        <v>106</v>
      </c>
      <c r="F38" s="129">
        <v>45889</v>
      </c>
      <c r="G38" s="123" t="s">
        <v>112</v>
      </c>
      <c r="H38" s="124">
        <v>88.81</v>
      </c>
      <c r="I38" s="124">
        <v>0</v>
      </c>
      <c r="J38" s="18" t="s">
        <v>6</v>
      </c>
      <c r="K38" s="141">
        <v>200</v>
      </c>
      <c r="L38" s="145" t="s">
        <v>6</v>
      </c>
      <c r="M38" s="18" t="s">
        <v>6</v>
      </c>
      <c r="N38" s="18" t="s">
        <v>6</v>
      </c>
      <c r="O38" s="27">
        <v>0</v>
      </c>
      <c r="P38" s="23" t="s">
        <v>6</v>
      </c>
      <c r="Q38" s="100" t="s">
        <v>14</v>
      </c>
      <c r="R38" s="50" t="s">
        <v>6</v>
      </c>
      <c r="S38" s="19" t="s">
        <v>6</v>
      </c>
      <c r="T38" s="21" t="s">
        <v>6</v>
      </c>
      <c r="U38" s="20">
        <v>0</v>
      </c>
      <c r="V38" s="42" t="s">
        <v>6</v>
      </c>
      <c r="W38" s="45"/>
      <c r="X38" s="34"/>
    </row>
    <row r="39" spans="1:31" ht="33" customHeight="1" x14ac:dyDescent="0.3">
      <c r="A39" s="194" t="s">
        <v>259</v>
      </c>
      <c r="B39" s="196" t="s">
        <v>296</v>
      </c>
      <c r="C39" s="198" t="s">
        <v>260</v>
      </c>
      <c r="D39" s="200">
        <v>45625</v>
      </c>
      <c r="E39" s="202" t="s">
        <v>261</v>
      </c>
      <c r="F39" s="204">
        <v>45669</v>
      </c>
      <c r="G39" s="30">
        <v>7.4999999999999997E-2</v>
      </c>
      <c r="H39" s="31">
        <v>235.27</v>
      </c>
      <c r="I39" s="31">
        <f>G39*H39</f>
        <v>17.645250000000001</v>
      </c>
      <c r="J39" s="189" t="s">
        <v>6</v>
      </c>
      <c r="K39" s="24">
        <v>1950</v>
      </c>
      <c r="L39" s="189" t="s">
        <v>6</v>
      </c>
      <c r="M39" s="189" t="s">
        <v>6</v>
      </c>
      <c r="N39" s="189">
        <v>1</v>
      </c>
      <c r="O39" s="206">
        <f>((I39*K39)+(I40*K40))*45/366</f>
        <v>4438.3693647540986</v>
      </c>
      <c r="P39" s="189" t="s">
        <v>266</v>
      </c>
      <c r="Q39" s="208">
        <v>0.08</v>
      </c>
      <c r="R39" s="209" t="s">
        <v>6</v>
      </c>
      <c r="S39" s="210">
        <v>168495</v>
      </c>
      <c r="T39" s="211">
        <v>1</v>
      </c>
      <c r="U39" s="258">
        <f>Q39*S39</f>
        <v>13479.6</v>
      </c>
      <c r="V39" s="218" t="s">
        <v>266</v>
      </c>
      <c r="W39" s="196"/>
      <c r="X39" s="51"/>
    </row>
    <row r="40" spans="1:31" ht="25.8" customHeight="1" thickBot="1" x14ac:dyDescent="0.35">
      <c r="A40" s="195"/>
      <c r="B40" s="197"/>
      <c r="C40" s="199"/>
      <c r="D40" s="201"/>
      <c r="E40" s="203"/>
      <c r="F40" s="205"/>
      <c r="G40" s="30">
        <v>7.4999999999999997E-2</v>
      </c>
      <c r="H40" s="31">
        <v>128.80000000000001</v>
      </c>
      <c r="I40" s="31">
        <f>G40*H40</f>
        <v>9.66</v>
      </c>
      <c r="J40" s="190"/>
      <c r="K40" s="24">
        <v>175</v>
      </c>
      <c r="L40" s="190"/>
      <c r="M40" s="190"/>
      <c r="N40" s="190"/>
      <c r="O40" s="207"/>
      <c r="P40" s="190"/>
      <c r="Q40" s="208"/>
      <c r="R40" s="209"/>
      <c r="S40" s="210"/>
      <c r="T40" s="211"/>
      <c r="U40" s="258"/>
      <c r="V40" s="221"/>
      <c r="W40" s="197"/>
      <c r="X40" s="51"/>
    </row>
    <row r="41" spans="1:31" ht="42" customHeight="1" thickBot="1" x14ac:dyDescent="0.35">
      <c r="A41" s="35" t="s">
        <v>18</v>
      </c>
      <c r="B41" s="36" t="s">
        <v>99</v>
      </c>
      <c r="C41" s="114" t="s">
        <v>28</v>
      </c>
      <c r="D41" s="144">
        <v>44612</v>
      </c>
      <c r="E41" s="116" t="s">
        <v>113</v>
      </c>
      <c r="F41" s="29">
        <v>45707</v>
      </c>
      <c r="G41" s="30">
        <v>6.5000000000000002E-2</v>
      </c>
      <c r="H41" s="31">
        <v>235.27</v>
      </c>
      <c r="I41" s="17">
        <f>G41*H41</f>
        <v>15.29255</v>
      </c>
      <c r="J41" s="23" t="s">
        <v>6</v>
      </c>
      <c r="K41" s="24">
        <v>18.899999999999999</v>
      </c>
      <c r="L41" s="37" t="s">
        <v>6</v>
      </c>
      <c r="M41" s="23" t="s">
        <v>6</v>
      </c>
      <c r="N41" s="23">
        <v>1</v>
      </c>
      <c r="O41" s="38">
        <f>I41*K41</f>
        <v>289.02919499999996</v>
      </c>
      <c r="P41" s="23" t="s">
        <v>266</v>
      </c>
      <c r="Q41" s="19" t="s">
        <v>6</v>
      </c>
      <c r="R41" s="19" t="s">
        <v>6</v>
      </c>
      <c r="S41" s="19" t="s">
        <v>6</v>
      </c>
      <c r="T41" s="21" t="s">
        <v>6</v>
      </c>
      <c r="U41" s="20">
        <v>0</v>
      </c>
      <c r="V41" s="50" t="s">
        <v>6</v>
      </c>
      <c r="W41" s="44"/>
      <c r="X41" s="51"/>
    </row>
    <row r="42" spans="1:31" ht="46.95" customHeight="1" x14ac:dyDescent="0.3">
      <c r="A42" s="194" t="s">
        <v>29</v>
      </c>
      <c r="B42" s="196" t="s">
        <v>51</v>
      </c>
      <c r="C42" s="198" t="s">
        <v>52</v>
      </c>
      <c r="D42" s="212">
        <v>45008</v>
      </c>
      <c r="E42" s="202" t="s">
        <v>125</v>
      </c>
      <c r="F42" s="204">
        <v>46103</v>
      </c>
      <c r="G42" s="214">
        <v>6.5000000000000002E-2</v>
      </c>
      <c r="H42" s="124">
        <v>82.27</v>
      </c>
      <c r="I42" s="131">
        <f>G42*H42</f>
        <v>5.34755</v>
      </c>
      <c r="J42" s="131"/>
      <c r="K42" s="141">
        <v>568</v>
      </c>
      <c r="L42" s="141"/>
      <c r="M42" s="189" t="s">
        <v>6</v>
      </c>
      <c r="N42" s="189">
        <v>12</v>
      </c>
      <c r="O42" s="206">
        <f>((I42*K42)+(J43*L43))</f>
        <v>6481.2552999999998</v>
      </c>
      <c r="P42" s="202" t="s">
        <v>266</v>
      </c>
      <c r="Q42" s="218" t="s">
        <v>6</v>
      </c>
      <c r="R42" s="218" t="s">
        <v>6</v>
      </c>
      <c r="S42" s="189" t="s">
        <v>6</v>
      </c>
      <c r="T42" s="216" t="s">
        <v>6</v>
      </c>
      <c r="U42" s="206">
        <v>0</v>
      </c>
      <c r="V42" s="218" t="s">
        <v>6</v>
      </c>
      <c r="W42" s="243"/>
      <c r="X42" s="233"/>
    </row>
    <row r="43" spans="1:31" ht="46.95" customHeight="1" thickBot="1" x14ac:dyDescent="0.35">
      <c r="A43" s="195"/>
      <c r="B43" s="197"/>
      <c r="C43" s="199"/>
      <c r="D43" s="213"/>
      <c r="E43" s="203"/>
      <c r="F43" s="205"/>
      <c r="G43" s="215"/>
      <c r="H43" s="124">
        <v>12.73</v>
      </c>
      <c r="I43" s="131"/>
      <c r="J43" s="131">
        <f>G42*H43</f>
        <v>0.82745000000000002</v>
      </c>
      <c r="K43" s="141"/>
      <c r="L43" s="141">
        <v>4162</v>
      </c>
      <c r="M43" s="190"/>
      <c r="N43" s="190"/>
      <c r="O43" s="207"/>
      <c r="P43" s="203"/>
      <c r="Q43" s="221"/>
      <c r="R43" s="221"/>
      <c r="S43" s="190"/>
      <c r="T43" s="217"/>
      <c r="U43" s="207"/>
      <c r="V43" s="221"/>
      <c r="W43" s="244"/>
      <c r="X43" s="223"/>
    </row>
    <row r="44" spans="1:31" ht="43.95" customHeight="1" thickBot="1" x14ac:dyDescent="0.35">
      <c r="A44" s="114" t="s">
        <v>42</v>
      </c>
      <c r="B44" s="36" t="s">
        <v>158</v>
      </c>
      <c r="C44" s="114" t="s">
        <v>43</v>
      </c>
      <c r="D44" s="148">
        <v>45261</v>
      </c>
      <c r="E44" s="128" t="s">
        <v>159</v>
      </c>
      <c r="F44" s="129">
        <v>45535</v>
      </c>
      <c r="G44" s="123">
        <v>7.4999999999999997E-2</v>
      </c>
      <c r="H44" s="124">
        <v>88.81</v>
      </c>
      <c r="I44" s="131">
        <f t="shared" ref="I44" si="4">G44*H44</f>
        <v>6.6607500000000002</v>
      </c>
      <c r="J44" s="18" t="s">
        <v>6</v>
      </c>
      <c r="K44" s="141">
        <v>340</v>
      </c>
      <c r="L44" s="141" t="s">
        <v>6</v>
      </c>
      <c r="M44" s="26" t="s">
        <v>6</v>
      </c>
      <c r="N44" s="18">
        <v>12</v>
      </c>
      <c r="O44" s="27">
        <f>I44*K44*8/12</f>
        <v>1509.7700000000002</v>
      </c>
      <c r="P44" s="18" t="s">
        <v>266</v>
      </c>
      <c r="Q44" s="42" t="s">
        <v>6</v>
      </c>
      <c r="R44" s="18" t="s">
        <v>6</v>
      </c>
      <c r="S44" s="28" t="s">
        <v>6</v>
      </c>
      <c r="T44" s="61" t="s">
        <v>6</v>
      </c>
      <c r="U44" s="27">
        <v>0</v>
      </c>
      <c r="V44" s="18" t="s">
        <v>6</v>
      </c>
      <c r="W44" s="54"/>
      <c r="X44" s="34"/>
    </row>
    <row r="45" spans="1:31" ht="43.95" customHeight="1" thickBot="1" x14ac:dyDescent="0.35">
      <c r="A45" s="114" t="s">
        <v>42</v>
      </c>
      <c r="B45" s="36"/>
      <c r="C45" s="114" t="s">
        <v>43</v>
      </c>
      <c r="D45" s="148">
        <v>45536</v>
      </c>
      <c r="E45" s="128" t="s">
        <v>232</v>
      </c>
      <c r="F45" s="129">
        <v>45808</v>
      </c>
      <c r="G45" s="123">
        <v>7.4999999999999997E-2</v>
      </c>
      <c r="H45" s="124">
        <v>88.81</v>
      </c>
      <c r="I45" s="131">
        <f t="shared" ref="I45" si="5">G45*H45</f>
        <v>6.6607500000000002</v>
      </c>
      <c r="J45" s="18" t="s">
        <v>6</v>
      </c>
      <c r="K45" s="141">
        <v>340</v>
      </c>
      <c r="L45" s="141" t="s">
        <v>6</v>
      </c>
      <c r="M45" s="26" t="s">
        <v>6</v>
      </c>
      <c r="N45" s="18">
        <v>12</v>
      </c>
      <c r="O45" s="27">
        <f>I45*K45*4/12</f>
        <v>754.8850000000001</v>
      </c>
      <c r="P45" s="18" t="s">
        <v>266</v>
      </c>
      <c r="Q45" s="42" t="s">
        <v>6</v>
      </c>
      <c r="R45" s="18" t="s">
        <v>6</v>
      </c>
      <c r="S45" s="28" t="s">
        <v>6</v>
      </c>
      <c r="T45" s="61" t="s">
        <v>6</v>
      </c>
      <c r="U45" s="27">
        <v>0</v>
      </c>
      <c r="V45" s="18" t="s">
        <v>6</v>
      </c>
      <c r="W45" s="54"/>
      <c r="X45" s="34"/>
    </row>
    <row r="46" spans="1:31" ht="45.6" customHeight="1" thickBot="1" x14ac:dyDescent="0.35">
      <c r="A46" s="127" t="s">
        <v>126</v>
      </c>
      <c r="B46" s="25" t="s">
        <v>186</v>
      </c>
      <c r="C46" s="114" t="s">
        <v>299</v>
      </c>
      <c r="D46" s="153">
        <v>45369</v>
      </c>
      <c r="E46" s="128" t="s">
        <v>185</v>
      </c>
      <c r="F46" s="129">
        <v>45384</v>
      </c>
      <c r="G46" s="123">
        <v>7.4999999999999997E-2</v>
      </c>
      <c r="H46" s="124">
        <v>128.80000000000001</v>
      </c>
      <c r="I46" s="131">
        <f t="shared" ref="I46:I55" si="6">G46*H46</f>
        <v>9.66</v>
      </c>
      <c r="J46" s="18" t="s">
        <v>6</v>
      </c>
      <c r="K46" s="141">
        <v>10510</v>
      </c>
      <c r="L46" s="141" t="s">
        <v>6</v>
      </c>
      <c r="M46" s="26">
        <v>7044.85</v>
      </c>
      <c r="N46" s="18">
        <v>1</v>
      </c>
      <c r="O46" s="27">
        <f>(I46*K46+M46)*16/366</f>
        <v>4746.2928961748639</v>
      </c>
      <c r="P46" s="18" t="s">
        <v>266</v>
      </c>
      <c r="Q46" s="55">
        <v>0.06</v>
      </c>
      <c r="R46" s="18" t="s">
        <v>6</v>
      </c>
      <c r="S46" s="26">
        <v>922100</v>
      </c>
      <c r="T46" s="61">
        <v>1</v>
      </c>
      <c r="U46" s="27">
        <f>Q46*S46</f>
        <v>55326</v>
      </c>
      <c r="V46" s="18" t="s">
        <v>266</v>
      </c>
      <c r="W46" s="53" t="s">
        <v>127</v>
      </c>
      <c r="X46" s="34"/>
    </row>
    <row r="47" spans="1:31" ht="45.6" customHeight="1" thickBot="1" x14ac:dyDescent="0.35">
      <c r="A47" s="114" t="s">
        <v>207</v>
      </c>
      <c r="B47" s="36" t="s">
        <v>208</v>
      </c>
      <c r="C47" s="114" t="s">
        <v>300</v>
      </c>
      <c r="D47" s="148">
        <v>45443</v>
      </c>
      <c r="E47" s="128" t="s">
        <v>209</v>
      </c>
      <c r="F47" s="129">
        <v>46537</v>
      </c>
      <c r="G47" s="123">
        <v>6.5000000000000002E-2</v>
      </c>
      <c r="H47" s="124">
        <v>158.57</v>
      </c>
      <c r="I47" s="131">
        <f t="shared" si="6"/>
        <v>10.30705</v>
      </c>
      <c r="J47" s="18" t="s">
        <v>6</v>
      </c>
      <c r="K47" s="141">
        <v>1140</v>
      </c>
      <c r="L47" s="141" t="s">
        <v>6</v>
      </c>
      <c r="M47" s="26">
        <v>5375.1</v>
      </c>
      <c r="N47" s="18">
        <v>3</v>
      </c>
      <c r="O47" s="27">
        <f>((I47*K47+M47)*2/4)+1450.49</f>
        <v>10013.058500000001</v>
      </c>
      <c r="P47" s="18" t="s">
        <v>266</v>
      </c>
      <c r="Q47" s="55" t="s">
        <v>6</v>
      </c>
      <c r="R47" s="18" t="s">
        <v>6</v>
      </c>
      <c r="S47" s="26" t="s">
        <v>6</v>
      </c>
      <c r="T47" s="61" t="s">
        <v>6</v>
      </c>
      <c r="U47" s="27">
        <v>0</v>
      </c>
      <c r="V47" s="18" t="s">
        <v>6</v>
      </c>
      <c r="W47" s="53"/>
      <c r="X47" s="34"/>
    </row>
    <row r="48" spans="1:31" s="102" customFormat="1" ht="45.6" customHeight="1" thickBot="1" x14ac:dyDescent="0.35">
      <c r="A48" s="114" t="s">
        <v>132</v>
      </c>
      <c r="B48" s="36" t="s">
        <v>134</v>
      </c>
      <c r="C48" s="114" t="s">
        <v>133</v>
      </c>
      <c r="D48" s="148">
        <v>45105</v>
      </c>
      <c r="E48" s="128" t="s">
        <v>170</v>
      </c>
      <c r="F48" s="129">
        <v>45925</v>
      </c>
      <c r="G48" s="123">
        <v>7.4999999999999997E-2</v>
      </c>
      <c r="H48" s="124">
        <v>235.27</v>
      </c>
      <c r="I48" s="131">
        <f t="shared" si="6"/>
        <v>17.645250000000001</v>
      </c>
      <c r="J48" s="18" t="s">
        <v>6</v>
      </c>
      <c r="K48" s="141">
        <v>1950</v>
      </c>
      <c r="L48" s="141" t="s">
        <v>6</v>
      </c>
      <c r="M48" s="26" t="s">
        <v>6</v>
      </c>
      <c r="N48" s="18">
        <v>12</v>
      </c>
      <c r="O48" s="27">
        <f>282.81+(I48*K48*2/12)+2356.73</f>
        <v>8374.2462500000001</v>
      </c>
      <c r="P48" s="18" t="s">
        <v>266</v>
      </c>
      <c r="Q48" s="55">
        <v>0.08</v>
      </c>
      <c r="R48" s="18" t="s">
        <v>6</v>
      </c>
      <c r="S48" s="26">
        <v>644805</v>
      </c>
      <c r="T48" s="61">
        <v>12</v>
      </c>
      <c r="U48" s="27">
        <f>Q48*S48</f>
        <v>51584.4</v>
      </c>
      <c r="V48" s="18" t="s">
        <v>266</v>
      </c>
      <c r="W48" s="53" t="s">
        <v>127</v>
      </c>
      <c r="X48" s="34"/>
      <c r="Y48"/>
      <c r="Z48"/>
      <c r="AA48"/>
      <c r="AB48"/>
      <c r="AC48"/>
      <c r="AD48"/>
      <c r="AE48"/>
    </row>
    <row r="49" spans="1:31" s="102" customFormat="1" ht="45.6" customHeight="1" thickBot="1" x14ac:dyDescent="0.35">
      <c r="A49" s="114" t="s">
        <v>132</v>
      </c>
      <c r="B49" s="25" t="s">
        <v>218</v>
      </c>
      <c r="C49" s="114" t="s">
        <v>219</v>
      </c>
      <c r="D49" s="153">
        <v>45474</v>
      </c>
      <c r="E49" s="128" t="s">
        <v>220</v>
      </c>
      <c r="F49" s="129">
        <v>45535</v>
      </c>
      <c r="G49" s="123">
        <v>7.4999999999999997E-2</v>
      </c>
      <c r="H49" s="124">
        <v>235.27</v>
      </c>
      <c r="I49" s="131">
        <f t="shared" si="6"/>
        <v>17.645250000000001</v>
      </c>
      <c r="J49" s="18" t="s">
        <v>6</v>
      </c>
      <c r="K49" s="141">
        <v>42</v>
      </c>
      <c r="L49" s="141" t="s">
        <v>6</v>
      </c>
      <c r="M49" s="26" t="s">
        <v>6</v>
      </c>
      <c r="N49" s="18">
        <v>12</v>
      </c>
      <c r="O49" s="27">
        <f>(G49*H49*K49*2/12)+50.62</f>
        <v>174.13675000000001</v>
      </c>
      <c r="P49" s="18" t="s">
        <v>266</v>
      </c>
      <c r="Q49" s="55" t="s">
        <v>6</v>
      </c>
      <c r="R49" s="18" t="s">
        <v>6</v>
      </c>
      <c r="S49" s="26" t="s">
        <v>6</v>
      </c>
      <c r="T49" s="61" t="s">
        <v>6</v>
      </c>
      <c r="U49" s="27">
        <v>0</v>
      </c>
      <c r="V49" s="18" t="s">
        <v>6</v>
      </c>
      <c r="W49" s="175"/>
      <c r="X49" s="82"/>
      <c r="Y49"/>
      <c r="Z49"/>
      <c r="AA49"/>
      <c r="AB49"/>
      <c r="AC49"/>
      <c r="AD49"/>
      <c r="AE49"/>
    </row>
    <row r="50" spans="1:31" s="102" customFormat="1" ht="55.2" customHeight="1" thickBot="1" x14ac:dyDescent="0.35">
      <c r="A50" s="127" t="s">
        <v>187</v>
      </c>
      <c r="B50" s="25" t="s">
        <v>302</v>
      </c>
      <c r="C50" s="114" t="s">
        <v>303</v>
      </c>
      <c r="D50" s="153">
        <v>45317</v>
      </c>
      <c r="E50" s="128" t="s">
        <v>304</v>
      </c>
      <c r="F50" s="129">
        <v>46412</v>
      </c>
      <c r="G50" s="123">
        <v>6.5000000000000002E-2</v>
      </c>
      <c r="H50" s="124">
        <v>88.81</v>
      </c>
      <c r="I50" s="131">
        <f>G50*H50</f>
        <v>5.7726500000000005</v>
      </c>
      <c r="J50" s="18" t="s">
        <v>6</v>
      </c>
      <c r="K50" s="141">
        <v>510</v>
      </c>
      <c r="L50" s="141" t="s">
        <v>6</v>
      </c>
      <c r="M50" s="26" t="s">
        <v>6</v>
      </c>
      <c r="N50" s="18">
        <v>6</v>
      </c>
      <c r="O50" s="27">
        <f>(I50*K50/2)+715.9</f>
        <v>2187.9257499999999</v>
      </c>
      <c r="P50" s="18" t="s">
        <v>266</v>
      </c>
      <c r="Q50" s="55" t="s">
        <v>6</v>
      </c>
      <c r="R50" s="18" t="s">
        <v>6</v>
      </c>
      <c r="S50" s="26" t="s">
        <v>6</v>
      </c>
      <c r="T50" s="61" t="s">
        <v>6</v>
      </c>
      <c r="U50" s="27">
        <v>0</v>
      </c>
      <c r="V50" s="18" t="s">
        <v>6</v>
      </c>
      <c r="W50" s="175"/>
      <c r="X50" s="82"/>
      <c r="Y50"/>
      <c r="Z50"/>
      <c r="AA50"/>
      <c r="AB50"/>
      <c r="AC50"/>
      <c r="AD50"/>
      <c r="AE50"/>
    </row>
    <row r="51" spans="1:31" s="102" customFormat="1" ht="55.2" customHeight="1" thickBot="1" x14ac:dyDescent="0.35">
      <c r="A51" s="127" t="s">
        <v>203</v>
      </c>
      <c r="B51" s="25" t="s">
        <v>204</v>
      </c>
      <c r="C51" s="114" t="s">
        <v>205</v>
      </c>
      <c r="D51" s="153">
        <v>45437</v>
      </c>
      <c r="E51" s="128" t="s">
        <v>206</v>
      </c>
      <c r="F51" s="129">
        <v>45593</v>
      </c>
      <c r="G51" s="123">
        <v>6.5000000000000002E-2</v>
      </c>
      <c r="H51" s="124">
        <v>97.26</v>
      </c>
      <c r="I51" s="131">
        <f>G51*H51</f>
        <v>6.3219000000000003</v>
      </c>
      <c r="J51" s="18" t="s">
        <v>6</v>
      </c>
      <c r="K51" s="141">
        <f>72+40</f>
        <v>112</v>
      </c>
      <c r="L51" s="141" t="s">
        <v>6</v>
      </c>
      <c r="M51" s="26" t="s">
        <v>6</v>
      </c>
      <c r="N51" s="18">
        <v>12</v>
      </c>
      <c r="O51" s="27">
        <f>13.55+((I51*K51)*4/12)+89.48</f>
        <v>339.04760000000005</v>
      </c>
      <c r="P51" s="18" t="s">
        <v>266</v>
      </c>
      <c r="Q51" s="55" t="s">
        <v>6</v>
      </c>
      <c r="R51" s="18" t="s">
        <v>6</v>
      </c>
      <c r="S51" s="26" t="s">
        <v>6</v>
      </c>
      <c r="T51" s="61" t="s">
        <v>6</v>
      </c>
      <c r="U51" s="27">
        <v>0</v>
      </c>
      <c r="V51" s="18" t="s">
        <v>6</v>
      </c>
      <c r="W51" s="175"/>
      <c r="X51" s="82"/>
      <c r="Y51"/>
      <c r="Z51"/>
      <c r="AA51"/>
      <c r="AB51"/>
      <c r="AC51"/>
      <c r="AD51"/>
      <c r="AE51"/>
    </row>
    <row r="52" spans="1:31" s="102" customFormat="1" ht="55.2" customHeight="1" thickBot="1" x14ac:dyDescent="0.35">
      <c r="A52" s="127" t="s">
        <v>203</v>
      </c>
      <c r="B52" s="25" t="s">
        <v>204</v>
      </c>
      <c r="C52" s="127" t="s">
        <v>229</v>
      </c>
      <c r="D52" s="153">
        <v>45547</v>
      </c>
      <c r="E52" s="128" t="s">
        <v>206</v>
      </c>
      <c r="F52" s="129">
        <v>45593</v>
      </c>
      <c r="G52" s="123">
        <v>6.5000000000000002E-2</v>
      </c>
      <c r="H52" s="124">
        <v>97.26</v>
      </c>
      <c r="I52" s="131">
        <f>G52*H52</f>
        <v>6.3219000000000003</v>
      </c>
      <c r="J52" s="18" t="s">
        <v>6</v>
      </c>
      <c r="K52" s="141">
        <f>185-K51</f>
        <v>73</v>
      </c>
      <c r="L52" s="141" t="s">
        <v>6</v>
      </c>
      <c r="M52" s="26" t="s">
        <v>6</v>
      </c>
      <c r="N52" s="18">
        <v>12</v>
      </c>
      <c r="O52" s="27">
        <v>37.090000000000003</v>
      </c>
      <c r="P52" s="18" t="s">
        <v>266</v>
      </c>
      <c r="Q52" s="55" t="s">
        <v>6</v>
      </c>
      <c r="R52" s="18" t="s">
        <v>6</v>
      </c>
      <c r="S52" s="26" t="s">
        <v>6</v>
      </c>
      <c r="T52" s="61" t="s">
        <v>6</v>
      </c>
      <c r="U52" s="27">
        <v>0</v>
      </c>
      <c r="V52" s="18" t="s">
        <v>6</v>
      </c>
      <c r="W52" s="175"/>
      <c r="X52" s="82"/>
      <c r="Y52"/>
      <c r="Z52"/>
      <c r="AA52"/>
      <c r="AB52"/>
      <c r="AC52"/>
      <c r="AD52"/>
      <c r="AE52"/>
    </row>
    <row r="53" spans="1:31" s="102" customFormat="1" ht="32.4" customHeight="1" thickBot="1" x14ac:dyDescent="0.35">
      <c r="A53" s="127" t="s">
        <v>142</v>
      </c>
      <c r="B53" s="25" t="s">
        <v>145</v>
      </c>
      <c r="C53" s="127" t="s">
        <v>143</v>
      </c>
      <c r="D53" s="153">
        <v>45078</v>
      </c>
      <c r="E53" s="128" t="s">
        <v>146</v>
      </c>
      <c r="F53" s="129">
        <v>46173</v>
      </c>
      <c r="G53" s="123">
        <v>6.5000000000000002E-2</v>
      </c>
      <c r="H53" s="124">
        <v>81.680000000000007</v>
      </c>
      <c r="I53" s="131">
        <f t="shared" si="6"/>
        <v>5.3092000000000006</v>
      </c>
      <c r="J53" s="18" t="s">
        <v>6</v>
      </c>
      <c r="K53" s="141">
        <v>26.33</v>
      </c>
      <c r="L53" s="141" t="s">
        <v>6</v>
      </c>
      <c r="M53" s="26" t="s">
        <v>6</v>
      </c>
      <c r="N53" s="18">
        <v>4</v>
      </c>
      <c r="O53" s="27">
        <f>I53*K53</f>
        <v>139.791236</v>
      </c>
      <c r="P53" s="18" t="s">
        <v>266</v>
      </c>
      <c r="Q53" s="55">
        <v>0.02</v>
      </c>
      <c r="R53" s="18" t="s">
        <v>6</v>
      </c>
      <c r="S53" s="26">
        <v>2936</v>
      </c>
      <c r="T53" s="61">
        <v>4</v>
      </c>
      <c r="U53" s="27">
        <f>Q53*S53</f>
        <v>58.72</v>
      </c>
      <c r="V53" s="18" t="s">
        <v>266</v>
      </c>
      <c r="W53" s="128"/>
      <c r="X53" s="57"/>
      <c r="Y53"/>
      <c r="Z53" s="176"/>
      <c r="AA53"/>
      <c r="AB53" s="176"/>
      <c r="AC53"/>
      <c r="AD53"/>
      <c r="AE53"/>
    </row>
    <row r="54" spans="1:31" s="102" customFormat="1" ht="58.2" customHeight="1" thickBot="1" x14ac:dyDescent="0.35">
      <c r="A54" s="127" t="s">
        <v>142</v>
      </c>
      <c r="B54" s="25" t="s">
        <v>147</v>
      </c>
      <c r="C54" s="127" t="s">
        <v>144</v>
      </c>
      <c r="D54" s="153">
        <v>45078</v>
      </c>
      <c r="E54" s="128" t="s">
        <v>146</v>
      </c>
      <c r="F54" s="129">
        <v>46173</v>
      </c>
      <c r="G54" s="123">
        <v>6.5000000000000002E-2</v>
      </c>
      <c r="H54" s="124">
        <v>88.81</v>
      </c>
      <c r="I54" s="131">
        <f t="shared" si="6"/>
        <v>5.7726500000000005</v>
      </c>
      <c r="J54" s="18" t="s">
        <v>6</v>
      </c>
      <c r="K54" s="141">
        <v>33</v>
      </c>
      <c r="L54" s="141" t="s">
        <v>6</v>
      </c>
      <c r="M54" s="26" t="s">
        <v>6</v>
      </c>
      <c r="N54" s="18">
        <v>4</v>
      </c>
      <c r="O54" s="27">
        <f>I54*K54</f>
        <v>190.49745000000001</v>
      </c>
      <c r="P54" s="18" t="s">
        <v>266</v>
      </c>
      <c r="Q54" s="55">
        <v>0.02</v>
      </c>
      <c r="R54" s="18" t="s">
        <v>6</v>
      </c>
      <c r="S54" s="26">
        <v>6951</v>
      </c>
      <c r="T54" s="61">
        <v>4</v>
      </c>
      <c r="U54" s="27">
        <f>Q54*S54</f>
        <v>139.02000000000001</v>
      </c>
      <c r="V54" s="18" t="s">
        <v>266</v>
      </c>
      <c r="W54" s="128"/>
      <c r="X54" s="57"/>
      <c r="Y54"/>
      <c r="Z54"/>
      <c r="AA54"/>
      <c r="AB54"/>
      <c r="AC54" s="69"/>
      <c r="AD54"/>
      <c r="AE54"/>
    </row>
    <row r="55" spans="1:31" s="102" customFormat="1" ht="43.8" customHeight="1" x14ac:dyDescent="0.3">
      <c r="A55" s="126" t="s">
        <v>129</v>
      </c>
      <c r="B55" s="22" t="s">
        <v>153</v>
      </c>
      <c r="C55" s="114" t="s">
        <v>130</v>
      </c>
      <c r="D55" s="120">
        <v>45067</v>
      </c>
      <c r="E55" s="128" t="s">
        <v>131</v>
      </c>
      <c r="F55" s="129">
        <v>46162</v>
      </c>
      <c r="G55" s="123">
        <v>7.4999999999999997E-2</v>
      </c>
      <c r="H55" s="124">
        <v>158.57</v>
      </c>
      <c r="I55" s="124">
        <f t="shared" si="6"/>
        <v>11.892749999999999</v>
      </c>
      <c r="J55" s="25" t="s">
        <v>6</v>
      </c>
      <c r="K55" s="141">
        <v>3747</v>
      </c>
      <c r="L55" s="145" t="s">
        <v>6</v>
      </c>
      <c r="M55" s="141">
        <v>139269.97</v>
      </c>
      <c r="N55" s="18">
        <v>12</v>
      </c>
      <c r="O55" s="27">
        <f>Hoja2!P20</f>
        <v>154334.25999999998</v>
      </c>
      <c r="P55" s="18" t="s">
        <v>266</v>
      </c>
      <c r="Q55" s="178">
        <v>2.2499999999999999E-2</v>
      </c>
      <c r="R55" s="26">
        <f>Hoja2!O20</f>
        <v>561078.38</v>
      </c>
      <c r="S55" s="26">
        <f>106000+53000</f>
        <v>159000</v>
      </c>
      <c r="T55" s="61">
        <v>12</v>
      </c>
      <c r="U55" s="27">
        <f>R55*0.0225</f>
        <v>12624.26355</v>
      </c>
      <c r="V55" s="177" t="s">
        <v>266</v>
      </c>
      <c r="W55" s="26"/>
      <c r="X55" s="179" t="s">
        <v>174</v>
      </c>
      <c r="Y55"/>
      <c r="Z55" s="176"/>
      <c r="AA55"/>
      <c r="AB55" s="176"/>
      <c r="AC55" s="69"/>
      <c r="AD55"/>
      <c r="AE55"/>
    </row>
    <row r="56" spans="1:31" s="102" customFormat="1" ht="34.200000000000003" customHeight="1" thickBot="1" x14ac:dyDescent="0.35">
      <c r="A56" s="126" t="s">
        <v>59</v>
      </c>
      <c r="B56" s="22" t="s">
        <v>76</v>
      </c>
      <c r="C56" s="114" t="s">
        <v>75</v>
      </c>
      <c r="D56" s="144">
        <v>44461</v>
      </c>
      <c r="E56" s="128" t="s">
        <v>97</v>
      </c>
      <c r="F56" s="129">
        <v>45556</v>
      </c>
      <c r="G56" s="123">
        <v>6.5000000000000002E-2</v>
      </c>
      <c r="H56" s="124">
        <v>88.81</v>
      </c>
      <c r="I56" s="131">
        <f>G56*H56</f>
        <v>5.7726500000000005</v>
      </c>
      <c r="J56" s="18" t="s">
        <v>6</v>
      </c>
      <c r="K56" s="141">
        <v>62.5</v>
      </c>
      <c r="L56" s="145" t="s">
        <v>6</v>
      </c>
      <c r="M56" s="18" t="s">
        <v>6</v>
      </c>
      <c r="N56" s="18">
        <v>6</v>
      </c>
      <c r="O56" s="27">
        <f>I56*K56/2+82.8</f>
        <v>263.1953125</v>
      </c>
      <c r="P56" s="18" t="s">
        <v>266</v>
      </c>
      <c r="Q56" s="18" t="s">
        <v>6</v>
      </c>
      <c r="R56" s="26" t="s">
        <v>6</v>
      </c>
      <c r="S56" s="26" t="s">
        <v>6</v>
      </c>
      <c r="T56" s="61" t="s">
        <v>6</v>
      </c>
      <c r="U56" s="27">
        <v>0</v>
      </c>
      <c r="V56" s="18" t="s">
        <v>6</v>
      </c>
      <c r="W56" s="44"/>
      <c r="X56" s="34"/>
      <c r="Y56"/>
      <c r="Z56"/>
      <c r="AA56"/>
      <c r="AB56"/>
      <c r="AC56" s="69"/>
      <c r="AD56"/>
      <c r="AE56"/>
    </row>
    <row r="57" spans="1:31" s="102" customFormat="1" ht="40.200000000000003" customHeight="1" thickBot="1" x14ac:dyDescent="0.35">
      <c r="A57" s="35" t="s">
        <v>78</v>
      </c>
      <c r="B57" s="22" t="s">
        <v>79</v>
      </c>
      <c r="C57" s="114" t="s">
        <v>77</v>
      </c>
      <c r="D57" s="144">
        <v>44330</v>
      </c>
      <c r="E57" s="121" t="s">
        <v>97</v>
      </c>
      <c r="F57" s="122">
        <v>45425</v>
      </c>
      <c r="G57" s="30" t="s">
        <v>6</v>
      </c>
      <c r="H57" s="31">
        <v>82.27</v>
      </c>
      <c r="I57" s="124" t="s">
        <v>13</v>
      </c>
      <c r="J57" s="105" t="s">
        <v>6</v>
      </c>
      <c r="K57" s="141">
        <v>210</v>
      </c>
      <c r="L57" s="152" t="s">
        <v>6</v>
      </c>
      <c r="M57" s="23" t="s">
        <v>6</v>
      </c>
      <c r="N57" s="105" t="s">
        <v>6</v>
      </c>
      <c r="O57" s="107">
        <v>0</v>
      </c>
      <c r="P57" s="105" t="s">
        <v>6</v>
      </c>
      <c r="Q57" s="180" t="s">
        <v>14</v>
      </c>
      <c r="R57" s="125" t="s">
        <v>6</v>
      </c>
      <c r="S57" s="125" t="s">
        <v>6</v>
      </c>
      <c r="T57" s="110" t="s">
        <v>6</v>
      </c>
      <c r="U57" s="107">
        <v>0</v>
      </c>
      <c r="V57" s="105" t="s">
        <v>6</v>
      </c>
      <c r="W57" s="44"/>
      <c r="X57" s="34"/>
      <c r="Y57"/>
      <c r="Z57" s="176"/>
      <c r="AA57"/>
      <c r="AB57" s="176"/>
      <c r="AC57" s="69"/>
      <c r="AD57"/>
      <c r="AE57"/>
    </row>
    <row r="58" spans="1:31" s="102" customFormat="1" ht="40.200000000000003" customHeight="1" thickBot="1" x14ac:dyDescent="0.35">
      <c r="A58" s="118" t="s">
        <v>78</v>
      </c>
      <c r="B58" s="22" t="s">
        <v>200</v>
      </c>
      <c r="C58" s="119" t="s">
        <v>201</v>
      </c>
      <c r="D58" s="144">
        <v>45427</v>
      </c>
      <c r="E58" s="121" t="s">
        <v>202</v>
      </c>
      <c r="F58" s="122">
        <v>46521</v>
      </c>
      <c r="G58" s="30" t="s">
        <v>6</v>
      </c>
      <c r="H58" s="31" t="s">
        <v>6</v>
      </c>
      <c r="I58" s="131" t="s">
        <v>6</v>
      </c>
      <c r="J58" s="105" t="s">
        <v>6</v>
      </c>
      <c r="K58" s="141">
        <v>510</v>
      </c>
      <c r="L58" s="152">
        <v>310</v>
      </c>
      <c r="M58" s="105" t="s">
        <v>6</v>
      </c>
      <c r="N58" s="105" t="s">
        <v>6</v>
      </c>
      <c r="O58" s="107">
        <v>0</v>
      </c>
      <c r="P58" s="105" t="s">
        <v>6</v>
      </c>
      <c r="Q58" s="181" t="s">
        <v>6</v>
      </c>
      <c r="R58" s="182" t="s">
        <v>6</v>
      </c>
      <c r="S58" s="125" t="s">
        <v>6</v>
      </c>
      <c r="T58" s="110" t="s">
        <v>6</v>
      </c>
      <c r="U58" s="107">
        <v>0</v>
      </c>
      <c r="V58" s="105" t="s">
        <v>6</v>
      </c>
      <c r="W58" s="183"/>
      <c r="X58" s="58"/>
      <c r="Y58"/>
      <c r="Z58"/>
      <c r="AA58"/>
      <c r="AB58"/>
      <c r="AC58" s="69"/>
      <c r="AD58"/>
      <c r="AE58"/>
    </row>
    <row r="59" spans="1:31" s="102" customFormat="1" ht="40.200000000000003" customHeight="1" thickBot="1" x14ac:dyDescent="0.35">
      <c r="A59" s="35" t="s">
        <v>54</v>
      </c>
      <c r="B59" s="22" t="s">
        <v>160</v>
      </c>
      <c r="C59" s="114" t="s">
        <v>53</v>
      </c>
      <c r="D59" s="144">
        <v>44961</v>
      </c>
      <c r="E59" s="116" t="s">
        <v>122</v>
      </c>
      <c r="F59" s="122">
        <v>46056</v>
      </c>
      <c r="G59" s="30">
        <v>6.5000000000000002E-2</v>
      </c>
      <c r="H59" s="31">
        <v>128.80000000000001</v>
      </c>
      <c r="I59" s="131">
        <f t="shared" ref="I59:I69" si="7">G59*H59</f>
        <v>8.3720000000000017</v>
      </c>
      <c r="J59" s="105" t="s">
        <v>6</v>
      </c>
      <c r="K59" s="141">
        <v>2371</v>
      </c>
      <c r="L59" s="37" t="s">
        <v>6</v>
      </c>
      <c r="M59" s="23" t="s">
        <v>6</v>
      </c>
      <c r="N59" s="105">
        <v>6</v>
      </c>
      <c r="O59" s="107">
        <f>I59*K59</f>
        <v>19850.012000000002</v>
      </c>
      <c r="P59" s="105" t="s">
        <v>266</v>
      </c>
      <c r="Q59" s="42" t="s">
        <v>96</v>
      </c>
      <c r="R59" s="125" t="s">
        <v>6</v>
      </c>
      <c r="S59" s="125">
        <f>0.2*O59</f>
        <v>3970.0024000000008</v>
      </c>
      <c r="T59" s="110">
        <v>6</v>
      </c>
      <c r="U59" s="107">
        <f>0.2*O59</f>
        <v>3970.0024000000008</v>
      </c>
      <c r="V59" s="105" t="s">
        <v>266</v>
      </c>
      <c r="W59" s="44"/>
      <c r="X59" s="34"/>
      <c r="Y59"/>
      <c r="Z59"/>
      <c r="AA59"/>
      <c r="AB59" s="176"/>
      <c r="AC59" s="69"/>
      <c r="AD59"/>
      <c r="AE59"/>
    </row>
    <row r="60" spans="1:31" s="102" customFormat="1" ht="40.200000000000003" customHeight="1" x14ac:dyDescent="0.3">
      <c r="A60" s="194" t="s">
        <v>163</v>
      </c>
      <c r="B60" s="196" t="s">
        <v>164</v>
      </c>
      <c r="C60" s="249" t="s">
        <v>165</v>
      </c>
      <c r="D60" s="212">
        <v>45075</v>
      </c>
      <c r="E60" s="202" t="s">
        <v>161</v>
      </c>
      <c r="F60" s="204">
        <v>46170</v>
      </c>
      <c r="G60" s="30">
        <v>5.5E-2</v>
      </c>
      <c r="H60" s="31">
        <v>128.80000000000001</v>
      </c>
      <c r="I60" s="131">
        <f t="shared" si="7"/>
        <v>7.0840000000000005</v>
      </c>
      <c r="J60" s="161">
        <f>G60*18.17</f>
        <v>0.99935000000000007</v>
      </c>
      <c r="K60" s="141">
        <v>5750</v>
      </c>
      <c r="L60" s="24">
        <v>816</v>
      </c>
      <c r="M60" s="162">
        <v>25140</v>
      </c>
      <c r="N60" s="189">
        <v>12</v>
      </c>
      <c r="O60" s="206">
        <f>((I60*K60)+(I61*K61)+(J60*L60)+M60+M61)</f>
        <v>141410.24960000001</v>
      </c>
      <c r="P60" s="189" t="s">
        <v>266</v>
      </c>
      <c r="Q60" s="252">
        <v>3.5000000000000003E-2</v>
      </c>
      <c r="R60" s="219">
        <f>Hoja2!Q20</f>
        <v>586469.14999999991</v>
      </c>
      <c r="S60" s="219">
        <f>950000</f>
        <v>950000</v>
      </c>
      <c r="T60" s="216">
        <v>12</v>
      </c>
      <c r="U60" s="206">
        <f>S60*0.035</f>
        <v>33250</v>
      </c>
      <c r="V60" s="189" t="s">
        <v>266</v>
      </c>
      <c r="W60" s="254"/>
      <c r="X60" s="240" t="s">
        <v>162</v>
      </c>
      <c r="Y60"/>
      <c r="Z60"/>
      <c r="AA60"/>
      <c r="AB60"/>
      <c r="AC60" s="69"/>
      <c r="AD60"/>
      <c r="AE60"/>
    </row>
    <row r="61" spans="1:31" s="102" customFormat="1" ht="40.200000000000003" customHeight="1" thickBot="1" x14ac:dyDescent="0.35">
      <c r="A61" s="195"/>
      <c r="B61" s="197"/>
      <c r="C61" s="250"/>
      <c r="D61" s="213"/>
      <c r="E61" s="203"/>
      <c r="F61" s="205"/>
      <c r="G61" s="30">
        <v>6.5000000000000002E-2</v>
      </c>
      <c r="H61" s="31">
        <v>128.80000000000001</v>
      </c>
      <c r="I61" s="131">
        <f>G61*H61</f>
        <v>8.3720000000000017</v>
      </c>
      <c r="J61" s="105"/>
      <c r="K61" s="141">
        <v>8375</v>
      </c>
      <c r="L61" s="37"/>
      <c r="M61" s="162">
        <v>4606.28</v>
      </c>
      <c r="N61" s="190"/>
      <c r="O61" s="207"/>
      <c r="P61" s="190"/>
      <c r="Q61" s="221"/>
      <c r="R61" s="220"/>
      <c r="S61" s="220"/>
      <c r="T61" s="217"/>
      <c r="U61" s="207"/>
      <c r="V61" s="190"/>
      <c r="W61" s="255"/>
      <c r="X61" s="241"/>
      <c r="Y61"/>
      <c r="Z61"/>
      <c r="AA61"/>
      <c r="AB61"/>
      <c r="AC61" s="69"/>
      <c r="AD61"/>
      <c r="AE61"/>
    </row>
    <row r="62" spans="1:31" s="102" customFormat="1" ht="40.200000000000003" customHeight="1" thickBot="1" x14ac:dyDescent="0.35">
      <c r="A62" s="126" t="s">
        <v>163</v>
      </c>
      <c r="B62" s="111" t="s">
        <v>221</v>
      </c>
      <c r="C62" s="114" t="s">
        <v>222</v>
      </c>
      <c r="D62" s="157">
        <v>45517</v>
      </c>
      <c r="E62" s="151" t="s">
        <v>223</v>
      </c>
      <c r="F62" s="158">
        <v>45599</v>
      </c>
      <c r="G62" s="30">
        <v>6.5000000000000002E-2</v>
      </c>
      <c r="H62" s="31">
        <v>128.80000000000001</v>
      </c>
      <c r="I62" s="131">
        <f>G62*H62</f>
        <v>8.3720000000000017</v>
      </c>
      <c r="J62" s="105" t="s">
        <v>6</v>
      </c>
      <c r="K62" s="141">
        <v>4000</v>
      </c>
      <c r="L62" s="152" t="s">
        <v>6</v>
      </c>
      <c r="M62" s="149" t="s">
        <v>6</v>
      </c>
      <c r="N62" s="19">
        <v>12</v>
      </c>
      <c r="O62" s="20">
        <f>1738.45+(I62*K62*2/12)+274.49</f>
        <v>7594.2733333333344</v>
      </c>
      <c r="P62" s="19" t="s">
        <v>266</v>
      </c>
      <c r="Q62" s="19" t="s">
        <v>96</v>
      </c>
      <c r="R62" s="159" t="s">
        <v>6</v>
      </c>
      <c r="S62" s="159">
        <f>20%*O62</f>
        <v>1518.8546666666671</v>
      </c>
      <c r="T62" s="21">
        <v>12</v>
      </c>
      <c r="U62" s="20">
        <f>0.2*O62</f>
        <v>1518.8546666666671</v>
      </c>
      <c r="V62" s="19" t="s">
        <v>266</v>
      </c>
      <c r="W62" s="184"/>
      <c r="X62" s="113"/>
      <c r="Y62"/>
      <c r="Z62"/>
      <c r="AA62"/>
      <c r="AB62"/>
      <c r="AC62" s="69"/>
      <c r="AD62"/>
      <c r="AE62"/>
    </row>
    <row r="63" spans="1:31" s="102" customFormat="1" ht="40.200000000000003" customHeight="1" thickBot="1" x14ac:dyDescent="0.35">
      <c r="A63" s="35" t="s">
        <v>100</v>
      </c>
      <c r="B63" s="22" t="s">
        <v>154</v>
      </c>
      <c r="C63" s="114" t="s">
        <v>101</v>
      </c>
      <c r="D63" s="144">
        <v>44944</v>
      </c>
      <c r="E63" s="121" t="s">
        <v>122</v>
      </c>
      <c r="F63" s="122">
        <v>45491</v>
      </c>
      <c r="G63" s="30">
        <v>6.5000000000000002E-2</v>
      </c>
      <c r="H63" s="31">
        <v>88.81</v>
      </c>
      <c r="I63" s="131">
        <f t="shared" ref="I63" si="8">G63*H63</f>
        <v>5.7726500000000005</v>
      </c>
      <c r="J63" s="105" t="s">
        <v>6</v>
      </c>
      <c r="K63" s="141">
        <v>150</v>
      </c>
      <c r="L63" s="152" t="s">
        <v>6</v>
      </c>
      <c r="M63" s="23" t="s">
        <v>6</v>
      </c>
      <c r="N63" s="105">
        <v>12</v>
      </c>
      <c r="O63" s="107">
        <f>(I63*K63*6/12)+40.22</f>
        <v>473.16875000000005</v>
      </c>
      <c r="P63" s="105" t="s">
        <v>266</v>
      </c>
      <c r="Q63" s="178" t="s">
        <v>115</v>
      </c>
      <c r="R63" s="182"/>
      <c r="S63" s="125">
        <v>325000</v>
      </c>
      <c r="T63" s="110">
        <v>12</v>
      </c>
      <c r="U63" s="107">
        <f>(S63*0.005*6/12)+76.74</f>
        <v>889.24</v>
      </c>
      <c r="V63" s="105" t="s">
        <v>266</v>
      </c>
      <c r="W63" s="183"/>
      <c r="X63" s="47"/>
      <c r="Y63"/>
      <c r="Z63"/>
      <c r="AA63"/>
      <c r="AB63"/>
      <c r="AC63" s="69"/>
      <c r="AD63"/>
      <c r="AE63"/>
    </row>
    <row r="64" spans="1:31" s="102" customFormat="1" ht="40.200000000000003" customHeight="1" x14ac:dyDescent="0.3">
      <c r="A64" s="194" t="s">
        <v>80</v>
      </c>
      <c r="B64" s="196" t="s">
        <v>81</v>
      </c>
      <c r="C64" s="198" t="s">
        <v>82</v>
      </c>
      <c r="D64" s="212">
        <v>44343</v>
      </c>
      <c r="E64" s="202" t="s">
        <v>83</v>
      </c>
      <c r="F64" s="204">
        <v>45436</v>
      </c>
      <c r="G64" s="30">
        <v>7.4999999999999997E-2</v>
      </c>
      <c r="H64" s="31">
        <v>28.69</v>
      </c>
      <c r="I64" s="131">
        <f>G64*H64</f>
        <v>2.1517499999999998</v>
      </c>
      <c r="J64" s="105">
        <v>1.17</v>
      </c>
      <c r="K64" s="141"/>
      <c r="L64" s="152">
        <v>373</v>
      </c>
      <c r="M64" s="189" t="s">
        <v>6</v>
      </c>
      <c r="N64" s="189">
        <v>1</v>
      </c>
      <c r="O64" s="206">
        <f>((J64*L64)+(I65*K65))*145/366</f>
        <v>185.47776024590164</v>
      </c>
      <c r="P64" s="189" t="s">
        <v>266</v>
      </c>
      <c r="Q64" s="218" t="s">
        <v>96</v>
      </c>
      <c r="R64" s="219" t="s">
        <v>6</v>
      </c>
      <c r="S64" s="219">
        <f>0.2*O64</f>
        <v>37.095552049180327</v>
      </c>
      <c r="T64" s="216">
        <v>1</v>
      </c>
      <c r="U64" s="206">
        <f>0.2*O64</f>
        <v>37.095552049180327</v>
      </c>
      <c r="V64" s="189" t="s">
        <v>266</v>
      </c>
      <c r="W64" s="196"/>
      <c r="X64" s="233"/>
      <c r="Y64"/>
      <c r="Z64"/>
      <c r="AA64"/>
      <c r="AB64" s="69"/>
      <c r="AC64" s="69"/>
      <c r="AD64" s="69"/>
      <c r="AE64"/>
    </row>
    <row r="65" spans="1:142" s="102" customFormat="1" ht="40.200000000000003" customHeight="1" thickBot="1" x14ac:dyDescent="0.35">
      <c r="A65" s="195"/>
      <c r="B65" s="197"/>
      <c r="C65" s="199"/>
      <c r="D65" s="213"/>
      <c r="E65" s="203"/>
      <c r="F65" s="205"/>
      <c r="G65" s="30">
        <v>7.4999999999999997E-2</v>
      </c>
      <c r="H65" s="31">
        <v>235.27</v>
      </c>
      <c r="I65" s="131">
        <f t="shared" si="7"/>
        <v>17.645250000000001</v>
      </c>
      <c r="J65" s="105"/>
      <c r="K65" s="141">
        <v>1.8</v>
      </c>
      <c r="L65" s="152"/>
      <c r="M65" s="190"/>
      <c r="N65" s="190"/>
      <c r="O65" s="207"/>
      <c r="P65" s="190"/>
      <c r="Q65" s="190"/>
      <c r="R65" s="220"/>
      <c r="S65" s="220"/>
      <c r="T65" s="217"/>
      <c r="U65" s="207"/>
      <c r="V65" s="190"/>
      <c r="W65" s="197"/>
      <c r="X65" s="223"/>
      <c r="Y65"/>
      <c r="Z65"/>
      <c r="AA65"/>
      <c r="AB65" s="69"/>
      <c r="AC65" s="69"/>
      <c r="AD65" s="69"/>
      <c r="AE65"/>
    </row>
    <row r="66" spans="1:142" s="102" customFormat="1" ht="40.200000000000003" customHeight="1" x14ac:dyDescent="0.3">
      <c r="A66" s="194" t="s">
        <v>80</v>
      </c>
      <c r="B66" s="22"/>
      <c r="C66" s="198" t="s">
        <v>82</v>
      </c>
      <c r="D66" s="212">
        <v>45437</v>
      </c>
      <c r="E66" s="202" t="s">
        <v>239</v>
      </c>
      <c r="F66" s="204">
        <v>46166</v>
      </c>
      <c r="G66" s="30">
        <v>7.4999999999999997E-2</v>
      </c>
      <c r="H66" s="31">
        <v>28.69</v>
      </c>
      <c r="I66" s="131">
        <f>G66*H66</f>
        <v>2.1517499999999998</v>
      </c>
      <c r="J66" s="105">
        <v>1.17</v>
      </c>
      <c r="K66" s="141"/>
      <c r="L66" s="152">
        <v>373</v>
      </c>
      <c r="M66" s="189" t="s">
        <v>6</v>
      </c>
      <c r="N66" s="189">
        <v>1</v>
      </c>
      <c r="O66" s="206">
        <f>((I66*L66)+(I67*K67))*0.603825</f>
        <v>503.80996306499986</v>
      </c>
      <c r="P66" s="189" t="s">
        <v>266</v>
      </c>
      <c r="Q66" s="218" t="s">
        <v>96</v>
      </c>
      <c r="R66" s="219" t="s">
        <v>6</v>
      </c>
      <c r="S66" s="219">
        <f>0.2*O66</f>
        <v>100.76199261299998</v>
      </c>
      <c r="T66" s="216">
        <v>1</v>
      </c>
      <c r="U66" s="206">
        <f>0.2*O66</f>
        <v>100.76199261299998</v>
      </c>
      <c r="V66" s="189" t="s">
        <v>266</v>
      </c>
      <c r="W66" s="196"/>
      <c r="X66" s="106"/>
      <c r="Y66"/>
      <c r="Z66"/>
      <c r="AA66"/>
      <c r="AB66" s="69"/>
      <c r="AC66" s="69"/>
      <c r="AD66" s="69"/>
      <c r="AE66"/>
    </row>
    <row r="67" spans="1:142" s="102" customFormat="1" ht="40.200000000000003" customHeight="1" x14ac:dyDescent="0.3">
      <c r="A67" s="195"/>
      <c r="B67" s="25"/>
      <c r="C67" s="199"/>
      <c r="D67" s="213"/>
      <c r="E67" s="203"/>
      <c r="F67" s="205"/>
      <c r="G67" s="30">
        <v>7.4999999999999997E-2</v>
      </c>
      <c r="H67" s="31">
        <v>235.27</v>
      </c>
      <c r="I67" s="131">
        <f t="shared" ref="I67" si="9">G67*H67</f>
        <v>17.645250000000001</v>
      </c>
      <c r="J67" s="105"/>
      <c r="K67" s="141">
        <v>1.8</v>
      </c>
      <c r="L67" s="152"/>
      <c r="M67" s="190"/>
      <c r="N67" s="190"/>
      <c r="O67" s="207"/>
      <c r="P67" s="190"/>
      <c r="Q67" s="190"/>
      <c r="R67" s="220"/>
      <c r="S67" s="220"/>
      <c r="T67" s="217"/>
      <c r="U67" s="207"/>
      <c r="V67" s="190"/>
      <c r="W67" s="197"/>
      <c r="X67" s="106"/>
      <c r="Y67"/>
      <c r="Z67"/>
      <c r="AA67"/>
      <c r="AB67" s="69"/>
      <c r="AC67" s="69"/>
      <c r="AD67" s="69"/>
      <c r="AE67"/>
    </row>
    <row r="68" spans="1:142" s="102" customFormat="1" ht="77.400000000000006" customHeight="1" x14ac:dyDescent="0.3">
      <c r="A68" s="155" t="s">
        <v>248</v>
      </c>
      <c r="B68" s="111" t="s">
        <v>249</v>
      </c>
      <c r="C68" s="114" t="s">
        <v>250</v>
      </c>
      <c r="D68" s="157">
        <v>45616</v>
      </c>
      <c r="E68" s="151" t="s">
        <v>251</v>
      </c>
      <c r="F68" s="29">
        <v>45796</v>
      </c>
      <c r="G68" s="30">
        <v>6.5000000000000002E-2</v>
      </c>
      <c r="H68" s="31">
        <v>97.26</v>
      </c>
      <c r="I68" s="17">
        <f>G68*H68</f>
        <v>6.3219000000000003</v>
      </c>
      <c r="J68" s="23" t="s">
        <v>6</v>
      </c>
      <c r="K68" s="24">
        <v>525</v>
      </c>
      <c r="L68" s="37" t="s">
        <v>6</v>
      </c>
      <c r="M68" s="23" t="s">
        <v>6</v>
      </c>
      <c r="N68" s="23">
        <v>12</v>
      </c>
      <c r="O68" s="38">
        <f>(I68*K68*2/12)+99.75</f>
        <v>652.91624999999999</v>
      </c>
      <c r="P68" s="23" t="s">
        <v>266</v>
      </c>
      <c r="Q68" s="23" t="s">
        <v>6</v>
      </c>
      <c r="R68" s="149" t="s">
        <v>6</v>
      </c>
      <c r="S68" s="149">
        <v>0</v>
      </c>
      <c r="T68" s="41" t="s">
        <v>6</v>
      </c>
      <c r="U68" s="38">
        <v>0</v>
      </c>
      <c r="V68" s="23" t="s">
        <v>6</v>
      </c>
      <c r="W68" s="36"/>
      <c r="X68" s="106"/>
      <c r="Y68"/>
      <c r="Z68"/>
      <c r="AA68"/>
      <c r="AB68" s="69"/>
      <c r="AC68" s="69"/>
      <c r="AD68" s="69"/>
      <c r="AE68"/>
    </row>
    <row r="69" spans="1:142" s="102" customFormat="1" ht="40.200000000000003" customHeight="1" x14ac:dyDescent="0.3">
      <c r="A69" s="118" t="s">
        <v>55</v>
      </c>
      <c r="B69" s="22" t="s">
        <v>85</v>
      </c>
      <c r="C69" s="119" t="s">
        <v>84</v>
      </c>
      <c r="D69" s="144">
        <v>44349</v>
      </c>
      <c r="E69" s="121" t="s">
        <v>86</v>
      </c>
      <c r="F69" s="122">
        <v>45444</v>
      </c>
      <c r="G69" s="117">
        <v>2.75E-2</v>
      </c>
      <c r="H69" s="31">
        <v>158.57</v>
      </c>
      <c r="I69" s="131">
        <f t="shared" si="7"/>
        <v>4.3606749999999996</v>
      </c>
      <c r="J69" s="105" t="s">
        <v>6</v>
      </c>
      <c r="K69" s="141">
        <f>105.5+52.5</f>
        <v>158</v>
      </c>
      <c r="L69" s="105" t="s">
        <v>6</v>
      </c>
      <c r="M69" s="105" t="s">
        <v>6</v>
      </c>
      <c r="N69" s="105">
        <v>3</v>
      </c>
      <c r="O69" s="107">
        <f>(I69*K69*5/12)+116.71</f>
        <v>403.7877708333333</v>
      </c>
      <c r="P69" s="105" t="s">
        <v>266</v>
      </c>
      <c r="Q69" s="105" t="s">
        <v>41</v>
      </c>
      <c r="R69" s="125" t="s">
        <v>6</v>
      </c>
      <c r="S69" s="125">
        <v>2520</v>
      </c>
      <c r="T69" s="110">
        <v>3</v>
      </c>
      <c r="U69" s="107">
        <f>(S69*0.05*3/12)+21.4</f>
        <v>52.9</v>
      </c>
      <c r="V69" s="105" t="s">
        <v>266</v>
      </c>
      <c r="W69" s="22"/>
      <c r="X69" s="106"/>
      <c r="Y69"/>
      <c r="Z69"/>
      <c r="AA69"/>
      <c r="AB69"/>
      <c r="AC69"/>
      <c r="AD69"/>
      <c r="AE69"/>
    </row>
    <row r="70" spans="1:142" s="102" customFormat="1" ht="40.200000000000003" customHeight="1" x14ac:dyDescent="0.3">
      <c r="A70" s="118" t="s">
        <v>252</v>
      </c>
      <c r="B70" s="22" t="s">
        <v>254</v>
      </c>
      <c r="C70" s="119" t="s">
        <v>253</v>
      </c>
      <c r="D70" s="144">
        <v>45626</v>
      </c>
      <c r="E70" s="121" t="s">
        <v>255</v>
      </c>
      <c r="F70" s="122">
        <v>45898</v>
      </c>
      <c r="G70" s="154">
        <v>6.5000000000000002E-2</v>
      </c>
      <c r="H70" s="124">
        <v>82.27</v>
      </c>
      <c r="I70" s="131">
        <f>G70*H70</f>
        <v>5.34755</v>
      </c>
      <c r="J70" s="105" t="s">
        <v>6</v>
      </c>
      <c r="K70" s="141">
        <v>10963.42</v>
      </c>
      <c r="L70" s="105" t="s">
        <v>6</v>
      </c>
      <c r="M70" s="105" t="s">
        <v>6</v>
      </c>
      <c r="N70" s="105">
        <v>12</v>
      </c>
      <c r="O70" s="107">
        <f>(I70*K70/12)+160.18</f>
        <v>5045.799718416667</v>
      </c>
      <c r="P70" s="105" t="s">
        <v>266</v>
      </c>
      <c r="Q70" s="105" t="s">
        <v>6</v>
      </c>
      <c r="R70" s="125" t="s">
        <v>6</v>
      </c>
      <c r="S70" s="125" t="s">
        <v>6</v>
      </c>
      <c r="T70" s="110" t="s">
        <v>6</v>
      </c>
      <c r="U70" s="107">
        <v>0</v>
      </c>
      <c r="V70" s="105" t="s">
        <v>6</v>
      </c>
      <c r="W70" s="22"/>
      <c r="X70" s="106"/>
      <c r="Y70"/>
      <c r="Z70"/>
      <c r="AA70"/>
      <c r="AB70"/>
      <c r="AC70"/>
      <c r="AD70"/>
      <c r="AE70"/>
    </row>
    <row r="71" spans="1:142" s="102" customFormat="1" ht="32.4" customHeight="1" x14ac:dyDescent="0.3">
      <c r="A71" s="194" t="s">
        <v>37</v>
      </c>
      <c r="B71" s="196" t="s">
        <v>179</v>
      </c>
      <c r="C71" s="198" t="s">
        <v>40</v>
      </c>
      <c r="D71" s="212">
        <v>45300</v>
      </c>
      <c r="E71" s="202" t="s">
        <v>9</v>
      </c>
      <c r="F71" s="204">
        <v>46395</v>
      </c>
      <c r="G71" s="154">
        <v>6.5000000000000002E-2</v>
      </c>
      <c r="H71" s="124">
        <v>128.80000000000001</v>
      </c>
      <c r="I71" s="131">
        <f t="shared" ref="I71:I74" si="10">G71*H71</f>
        <v>8.3720000000000017</v>
      </c>
      <c r="J71" s="189" t="s">
        <v>6</v>
      </c>
      <c r="K71" s="141">
        <f>(261*0.5)+44</f>
        <v>174.5</v>
      </c>
      <c r="L71" s="189" t="s">
        <v>6</v>
      </c>
      <c r="M71" s="219">
        <v>14051.25</v>
      </c>
      <c r="N71" s="189">
        <v>12</v>
      </c>
      <c r="O71" s="206">
        <f>((I71*K71)+(I72*K72)+M71)*11/12+1016.19</f>
        <v>15839.292451666668</v>
      </c>
      <c r="P71" s="189" t="s">
        <v>266</v>
      </c>
      <c r="Q71" s="261">
        <v>0.06</v>
      </c>
      <c r="R71" s="219">
        <f>90583.94+119198.5</f>
        <v>209782.44</v>
      </c>
      <c r="S71" s="253">
        <f>300000*358/366</f>
        <v>293442.62295081967</v>
      </c>
      <c r="T71" s="211">
        <v>6</v>
      </c>
      <c r="U71" s="242">
        <f>S71*0.06</f>
        <v>17606.557377049179</v>
      </c>
      <c r="V71" s="257" t="s">
        <v>266</v>
      </c>
      <c r="W71" s="231"/>
      <c r="X71" s="260" t="s">
        <v>67</v>
      </c>
      <c r="Y71"/>
      <c r="Z71"/>
      <c r="AA71"/>
      <c r="AB71"/>
      <c r="AC71"/>
      <c r="AD71"/>
      <c r="AE71"/>
    </row>
    <row r="72" spans="1:142" s="102" customFormat="1" ht="32.4" customHeight="1" x14ac:dyDescent="0.3">
      <c r="A72" s="195"/>
      <c r="B72" s="197"/>
      <c r="C72" s="199"/>
      <c r="D72" s="213"/>
      <c r="E72" s="203"/>
      <c r="F72" s="205"/>
      <c r="G72" s="154">
        <v>2.75E-2</v>
      </c>
      <c r="H72" s="124">
        <v>128.80000000000001</v>
      </c>
      <c r="I72" s="131">
        <f t="shared" si="10"/>
        <v>3.5420000000000003</v>
      </c>
      <c r="J72" s="190"/>
      <c r="K72" s="141">
        <v>185.91</v>
      </c>
      <c r="L72" s="190"/>
      <c r="M72" s="220"/>
      <c r="N72" s="190"/>
      <c r="O72" s="207"/>
      <c r="P72" s="190"/>
      <c r="Q72" s="190"/>
      <c r="R72" s="220"/>
      <c r="S72" s="253"/>
      <c r="T72" s="211"/>
      <c r="U72" s="242"/>
      <c r="V72" s="257"/>
      <c r="W72" s="197"/>
      <c r="X72" s="260"/>
      <c r="Y72"/>
      <c r="Z72"/>
      <c r="AA72"/>
      <c r="AB72"/>
      <c r="AC72"/>
      <c r="AD72"/>
      <c r="AE72"/>
    </row>
    <row r="73" spans="1:142" s="102" customFormat="1" ht="43.2" customHeight="1" x14ac:dyDescent="0.3">
      <c r="A73" s="126" t="s">
        <v>157</v>
      </c>
      <c r="B73" s="111" t="s">
        <v>166</v>
      </c>
      <c r="C73" s="163" t="s">
        <v>167</v>
      </c>
      <c r="D73" s="157">
        <v>45245</v>
      </c>
      <c r="E73" s="128" t="s">
        <v>168</v>
      </c>
      <c r="F73" s="129">
        <v>45610</v>
      </c>
      <c r="G73" s="154">
        <v>6.5000000000000002E-2</v>
      </c>
      <c r="H73" s="124">
        <v>235.27</v>
      </c>
      <c r="I73" s="131">
        <f>G73*H73</f>
        <v>15.29255</v>
      </c>
      <c r="J73" s="18" t="s">
        <v>6</v>
      </c>
      <c r="K73" s="141">
        <v>290.7</v>
      </c>
      <c r="L73" s="18" t="s">
        <v>6</v>
      </c>
      <c r="M73" s="26">
        <v>9436</v>
      </c>
      <c r="N73" s="18">
        <v>12</v>
      </c>
      <c r="O73" s="27">
        <f>((I73*K73+M73)*10/12)+530.98</f>
        <v>12098.933570833333</v>
      </c>
      <c r="P73" s="18" t="s">
        <v>266</v>
      </c>
      <c r="Q73" s="46">
        <v>0.06</v>
      </c>
      <c r="R73" s="26">
        <f>Hoja2!F20</f>
        <v>911160.72</v>
      </c>
      <c r="S73" s="26">
        <v>456000</v>
      </c>
      <c r="T73" s="61">
        <v>12</v>
      </c>
      <c r="U73" s="20">
        <f>R73*0.06</f>
        <v>54669.643199999999</v>
      </c>
      <c r="V73" s="19" t="s">
        <v>266</v>
      </c>
      <c r="W73" s="111"/>
      <c r="X73" s="146"/>
      <c r="Y73"/>
      <c r="Z73"/>
      <c r="AA73"/>
      <c r="AB73"/>
      <c r="AC73"/>
      <c r="AD73"/>
      <c r="AE73"/>
    </row>
    <row r="74" spans="1:142" s="102" customFormat="1" ht="46.95" customHeight="1" x14ac:dyDescent="0.3">
      <c r="A74" s="126" t="s">
        <v>34</v>
      </c>
      <c r="B74" s="36" t="s">
        <v>102</v>
      </c>
      <c r="C74" s="163" t="s">
        <v>33</v>
      </c>
      <c r="D74" s="144">
        <v>44669</v>
      </c>
      <c r="E74" s="116" t="s">
        <v>98</v>
      </c>
      <c r="F74" s="122">
        <v>45765</v>
      </c>
      <c r="G74" s="30">
        <v>5.5E-2</v>
      </c>
      <c r="H74" s="31">
        <v>142.72999999999999</v>
      </c>
      <c r="I74" s="131">
        <f t="shared" si="10"/>
        <v>7.8501499999999993</v>
      </c>
      <c r="J74" s="23" t="s">
        <v>6</v>
      </c>
      <c r="K74" s="24">
        <v>44</v>
      </c>
      <c r="L74" s="23" t="s">
        <v>6</v>
      </c>
      <c r="M74" s="105" t="s">
        <v>6</v>
      </c>
      <c r="N74" s="23">
        <v>1</v>
      </c>
      <c r="O74" s="107">
        <f>I74*K74</f>
        <v>345.40659999999997</v>
      </c>
      <c r="P74" s="23" t="s">
        <v>266</v>
      </c>
      <c r="Q74" s="23" t="s">
        <v>6</v>
      </c>
      <c r="R74" s="149" t="s">
        <v>6</v>
      </c>
      <c r="S74" s="149" t="s">
        <v>6</v>
      </c>
      <c r="T74" s="41" t="s">
        <v>6</v>
      </c>
      <c r="U74" s="38">
        <v>0</v>
      </c>
      <c r="V74" s="23" t="s">
        <v>6</v>
      </c>
      <c r="W74" s="53"/>
      <c r="X74" s="34"/>
      <c r="Y74"/>
      <c r="Z74"/>
      <c r="AA74"/>
      <c r="AB74"/>
      <c r="AC74"/>
      <c r="AD74"/>
      <c r="AE74"/>
    </row>
    <row r="75" spans="1:142" s="102" customFormat="1" ht="76.2" customHeight="1" x14ac:dyDescent="0.3">
      <c r="A75" s="126" t="s">
        <v>128</v>
      </c>
      <c r="B75" s="164" t="s">
        <v>155</v>
      </c>
      <c r="C75" s="163" t="s">
        <v>148</v>
      </c>
      <c r="D75" s="165">
        <v>44986</v>
      </c>
      <c r="E75" s="116" t="s">
        <v>156</v>
      </c>
      <c r="F75" s="122">
        <v>45351</v>
      </c>
      <c r="G75" s="160" t="s">
        <v>6</v>
      </c>
      <c r="H75" s="166" t="s">
        <v>6</v>
      </c>
      <c r="I75" s="17" t="s">
        <v>6</v>
      </c>
      <c r="J75" s="23" t="s">
        <v>6</v>
      </c>
      <c r="K75" s="24" t="s">
        <v>6</v>
      </c>
      <c r="L75" s="37" t="s">
        <v>6</v>
      </c>
      <c r="M75" s="125">
        <v>3838.56</v>
      </c>
      <c r="N75" s="23">
        <v>12</v>
      </c>
      <c r="O75" s="107">
        <f>M75*2/12</f>
        <v>639.76</v>
      </c>
      <c r="P75" s="23" t="s">
        <v>266</v>
      </c>
      <c r="Q75" s="23" t="s">
        <v>6</v>
      </c>
      <c r="R75" s="149" t="s">
        <v>6</v>
      </c>
      <c r="S75" s="149" t="s">
        <v>6</v>
      </c>
      <c r="T75" s="41" t="s">
        <v>6</v>
      </c>
      <c r="U75" s="38">
        <v>0</v>
      </c>
      <c r="V75" s="23" t="s">
        <v>6</v>
      </c>
      <c r="W75" s="53"/>
      <c r="X75" s="34"/>
      <c r="Y75"/>
      <c r="Z75"/>
      <c r="AA75"/>
      <c r="AB75"/>
      <c r="AC75"/>
      <c r="AD75"/>
      <c r="AE75"/>
    </row>
    <row r="76" spans="1:142" s="102" customFormat="1" ht="50.4" customHeight="1" x14ac:dyDescent="0.3">
      <c r="A76" s="126" t="s">
        <v>128</v>
      </c>
      <c r="B76" s="164" t="s">
        <v>216</v>
      </c>
      <c r="C76" s="163" t="s">
        <v>148</v>
      </c>
      <c r="D76" s="165">
        <v>45352</v>
      </c>
      <c r="E76" s="116" t="s">
        <v>217</v>
      </c>
      <c r="F76" s="122">
        <v>45473</v>
      </c>
      <c r="G76" s="160" t="s">
        <v>6</v>
      </c>
      <c r="H76" s="166" t="s">
        <v>6</v>
      </c>
      <c r="I76" s="17" t="s">
        <v>6</v>
      </c>
      <c r="J76" s="23" t="s">
        <v>6</v>
      </c>
      <c r="K76" s="24" t="s">
        <v>6</v>
      </c>
      <c r="L76" s="37" t="s">
        <v>6</v>
      </c>
      <c r="M76" s="125">
        <v>3838.56</v>
      </c>
      <c r="N76" s="23">
        <v>12</v>
      </c>
      <c r="O76" s="107">
        <f>M76/12*4/12</f>
        <v>106.62666666666667</v>
      </c>
      <c r="P76" s="23" t="s">
        <v>266</v>
      </c>
      <c r="Q76" s="23" t="s">
        <v>6</v>
      </c>
      <c r="R76" s="149" t="s">
        <v>6</v>
      </c>
      <c r="S76" s="149" t="s">
        <v>6</v>
      </c>
      <c r="T76" s="41" t="s">
        <v>6</v>
      </c>
      <c r="U76" s="38">
        <v>0</v>
      </c>
      <c r="V76" s="23" t="s">
        <v>6</v>
      </c>
      <c r="W76" s="183"/>
      <c r="X76" s="51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</row>
    <row r="77" spans="1:142" s="102" customFormat="1" ht="67.8" customHeight="1" x14ac:dyDescent="0.3">
      <c r="A77" s="126" t="s">
        <v>128</v>
      </c>
      <c r="B77" s="167" t="s">
        <v>256</v>
      </c>
      <c r="C77" s="163" t="s">
        <v>257</v>
      </c>
      <c r="D77" s="165">
        <v>45626</v>
      </c>
      <c r="E77" s="121" t="s">
        <v>258</v>
      </c>
      <c r="F77" s="122">
        <v>46720</v>
      </c>
      <c r="G77" s="160" t="s">
        <v>6</v>
      </c>
      <c r="H77" s="166" t="s">
        <v>6</v>
      </c>
      <c r="I77" s="161" t="s">
        <v>6</v>
      </c>
      <c r="J77" s="161">
        <f>5.5%*16.47</f>
        <v>0.90584999999999993</v>
      </c>
      <c r="K77" s="168" t="s">
        <v>6</v>
      </c>
      <c r="L77" s="152">
        <v>240</v>
      </c>
      <c r="M77" s="125" t="s">
        <v>6</v>
      </c>
      <c r="N77" s="105">
        <v>12</v>
      </c>
      <c r="O77" s="107">
        <f>J77*L77/12</f>
        <v>18.117000000000001</v>
      </c>
      <c r="P77" s="105" t="s">
        <v>266</v>
      </c>
      <c r="Q77" s="105" t="s">
        <v>6</v>
      </c>
      <c r="R77" s="125" t="s">
        <v>6</v>
      </c>
      <c r="S77" s="125" t="s">
        <v>6</v>
      </c>
      <c r="T77" s="110" t="s">
        <v>6</v>
      </c>
      <c r="U77" s="107">
        <v>0</v>
      </c>
      <c r="V77" s="105" t="s">
        <v>6</v>
      </c>
      <c r="W77" s="183"/>
      <c r="X77" s="51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</row>
    <row r="78" spans="1:142" s="102" customFormat="1" ht="84" customHeight="1" x14ac:dyDescent="0.3">
      <c r="A78" s="49" t="s">
        <v>149</v>
      </c>
      <c r="B78" s="22" t="s">
        <v>150</v>
      </c>
      <c r="C78" s="135" t="s">
        <v>151</v>
      </c>
      <c r="D78" s="144">
        <v>45129</v>
      </c>
      <c r="E78" s="121" t="s">
        <v>152</v>
      </c>
      <c r="F78" s="122">
        <v>45494</v>
      </c>
      <c r="G78" s="160">
        <v>6.5000000000000002E-2</v>
      </c>
      <c r="H78" s="166">
        <v>88.81</v>
      </c>
      <c r="I78" s="166">
        <f>G78*H78</f>
        <v>5.7726500000000005</v>
      </c>
      <c r="J78" s="166">
        <f>6.5%*18.17</f>
        <v>1.1810500000000002</v>
      </c>
      <c r="K78" s="168">
        <v>220</v>
      </c>
      <c r="L78" s="169">
        <v>300</v>
      </c>
      <c r="M78" s="125" t="s">
        <v>6</v>
      </c>
      <c r="N78" s="22">
        <v>12</v>
      </c>
      <c r="O78" s="107">
        <f>(((I78*K78)+(J78*L78))*6/12)+97.64</f>
        <v>909.78899999999999</v>
      </c>
      <c r="P78" s="22" t="s">
        <v>266</v>
      </c>
      <c r="Q78" s="22" t="s">
        <v>6</v>
      </c>
      <c r="R78" s="22" t="s">
        <v>6</v>
      </c>
      <c r="S78" s="112" t="s">
        <v>6</v>
      </c>
      <c r="T78" s="63" t="s">
        <v>6</v>
      </c>
      <c r="U78" s="67">
        <v>0</v>
      </c>
      <c r="V78" s="22" t="s">
        <v>6</v>
      </c>
      <c r="W78" s="22"/>
      <c r="X78" s="51"/>
      <c r="Y78"/>
      <c r="Z78"/>
      <c r="AA78" s="69"/>
      <c r="AB78" s="6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</row>
    <row r="79" spans="1:142" s="101" customFormat="1" ht="46.8" customHeight="1" x14ac:dyDescent="0.3">
      <c r="A79" s="35" t="s">
        <v>35</v>
      </c>
      <c r="B79" s="36" t="s">
        <v>87</v>
      </c>
      <c r="C79" s="170" t="s">
        <v>123</v>
      </c>
      <c r="D79" s="148">
        <v>44416</v>
      </c>
      <c r="E79" s="116" t="s">
        <v>88</v>
      </c>
      <c r="F79" s="29">
        <v>45511</v>
      </c>
      <c r="G79" s="30" t="s">
        <v>6</v>
      </c>
      <c r="H79" s="31" t="s">
        <v>6</v>
      </c>
      <c r="I79" s="17" t="s">
        <v>6</v>
      </c>
      <c r="J79" s="23" t="s">
        <v>6</v>
      </c>
      <c r="K79" s="24">
        <v>0</v>
      </c>
      <c r="L79" s="37">
        <v>0</v>
      </c>
      <c r="M79" s="149">
        <v>540</v>
      </c>
      <c r="N79" s="23">
        <v>1</v>
      </c>
      <c r="O79" s="38">
        <f>M79*0.60109</f>
        <v>324.58859999999999</v>
      </c>
      <c r="P79" s="23" t="s">
        <v>266</v>
      </c>
      <c r="Q79" s="185" t="s">
        <v>6</v>
      </c>
      <c r="R79" s="48" t="s">
        <v>6</v>
      </c>
      <c r="S79" s="149" t="s">
        <v>6</v>
      </c>
      <c r="T79" s="64" t="s">
        <v>6</v>
      </c>
      <c r="U79" s="65">
        <v>0</v>
      </c>
      <c r="V79" s="36" t="s">
        <v>6</v>
      </c>
      <c r="W79" s="173"/>
      <c r="X79" s="34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</row>
    <row r="80" spans="1:142" s="104" customFormat="1" ht="48" customHeight="1" x14ac:dyDescent="0.3">
      <c r="A80" s="113" t="s">
        <v>8</v>
      </c>
      <c r="B80" s="25" t="s">
        <v>124</v>
      </c>
      <c r="C80" s="171" t="s">
        <v>65</v>
      </c>
      <c r="D80" s="153">
        <v>44958</v>
      </c>
      <c r="E80" s="128" t="s">
        <v>116</v>
      </c>
      <c r="F80" s="153">
        <v>45322</v>
      </c>
      <c r="G80" s="172">
        <v>6.5000000000000002E-2</v>
      </c>
      <c r="H80" s="132">
        <v>142.72999999999999</v>
      </c>
      <c r="I80" s="131">
        <f t="shared" ref="I80:I81" si="11">G80*H80</f>
        <v>9.27745</v>
      </c>
      <c r="J80" s="25" t="s">
        <v>6</v>
      </c>
      <c r="K80" s="141">
        <v>3038</v>
      </c>
      <c r="L80" s="139">
        <v>0</v>
      </c>
      <c r="M80" s="26">
        <v>30431.85</v>
      </c>
      <c r="N80" s="25">
        <v>12</v>
      </c>
      <c r="O80" s="27">
        <f>((I80*K80)+M80)/12</f>
        <v>4884.7285916666669</v>
      </c>
      <c r="P80" s="25" t="s">
        <v>266</v>
      </c>
      <c r="Q80" s="18" t="s">
        <v>7</v>
      </c>
      <c r="R80" s="188">
        <v>2988</v>
      </c>
      <c r="S80" s="188">
        <f>22550/12</f>
        <v>1879.1666666666667</v>
      </c>
      <c r="T80" s="32">
        <v>12</v>
      </c>
      <c r="U80" s="27">
        <f>R80*0.250128</f>
        <v>747.38246400000003</v>
      </c>
      <c r="V80" s="25" t="s">
        <v>266</v>
      </c>
      <c r="W80" s="25"/>
      <c r="X80" s="84"/>
      <c r="Y80" s="56"/>
      <c r="Z80"/>
      <c r="AA80" s="70"/>
      <c r="AB80" s="70"/>
      <c r="AC80" s="56"/>
      <c r="AD80" s="56"/>
      <c r="AE80" s="56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</row>
    <row r="81" spans="1:142" s="102" customFormat="1" ht="60" customHeight="1" x14ac:dyDescent="0.3">
      <c r="A81" s="173" t="s">
        <v>44</v>
      </c>
      <c r="B81" s="36" t="s">
        <v>169</v>
      </c>
      <c r="C81" s="127" t="s">
        <v>103</v>
      </c>
      <c r="D81" s="115">
        <v>44739</v>
      </c>
      <c r="E81" s="129" t="s">
        <v>104</v>
      </c>
      <c r="F81" s="129">
        <v>45967</v>
      </c>
      <c r="G81" s="123">
        <v>6.5000000000000002E-2</v>
      </c>
      <c r="H81" s="132">
        <v>88.81</v>
      </c>
      <c r="I81" s="132">
        <f t="shared" si="11"/>
        <v>5.7726500000000005</v>
      </c>
      <c r="J81" s="174" t="s">
        <v>6</v>
      </c>
      <c r="K81" s="24">
        <v>2400</v>
      </c>
      <c r="L81" s="141">
        <v>0</v>
      </c>
      <c r="M81" s="26" t="s">
        <v>6</v>
      </c>
      <c r="N81" s="18">
        <v>12</v>
      </c>
      <c r="O81" s="27">
        <f>I81*K81</f>
        <v>13854.36</v>
      </c>
      <c r="P81" s="18" t="s">
        <v>266</v>
      </c>
      <c r="Q81" s="18" t="s">
        <v>6</v>
      </c>
      <c r="R81" s="28" t="s">
        <v>6</v>
      </c>
      <c r="S81" s="28" t="s">
        <v>6</v>
      </c>
      <c r="T81" s="61" t="s">
        <v>6</v>
      </c>
      <c r="U81" s="27">
        <v>0</v>
      </c>
      <c r="V81" s="18" t="s">
        <v>6</v>
      </c>
      <c r="W81" s="186"/>
      <c r="X81" s="34"/>
      <c r="Y81"/>
      <c r="Z81"/>
      <c r="AA81" s="69"/>
      <c r="AB81" s="69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</row>
    <row r="82" spans="1:142" s="102" customFormat="1" ht="55.2" customHeight="1" x14ac:dyDescent="0.3">
      <c r="A82" s="126" t="s">
        <v>15</v>
      </c>
      <c r="B82" s="36" t="s">
        <v>89</v>
      </c>
      <c r="C82" s="127" t="s">
        <v>16</v>
      </c>
      <c r="D82" s="148">
        <v>44411</v>
      </c>
      <c r="E82" s="116" t="s">
        <v>36</v>
      </c>
      <c r="F82" s="129">
        <v>45506</v>
      </c>
      <c r="G82" s="123" t="s">
        <v>6</v>
      </c>
      <c r="H82" s="124" t="s">
        <v>6</v>
      </c>
      <c r="I82" s="124" t="s">
        <v>13</v>
      </c>
      <c r="J82" s="18" t="s">
        <v>6</v>
      </c>
      <c r="K82" s="24">
        <v>60</v>
      </c>
      <c r="L82" s="145" t="s">
        <v>6</v>
      </c>
      <c r="M82" s="18" t="s">
        <v>6</v>
      </c>
      <c r="N82" s="18" t="s">
        <v>6</v>
      </c>
      <c r="O82" s="27">
        <v>0</v>
      </c>
      <c r="P82" s="18" t="s">
        <v>6</v>
      </c>
      <c r="Q82" s="187" t="s">
        <v>14</v>
      </c>
      <c r="R82" s="48" t="s">
        <v>6</v>
      </c>
      <c r="S82" s="36" t="s">
        <v>6</v>
      </c>
      <c r="T82" s="64" t="s">
        <v>6</v>
      </c>
      <c r="U82" s="65">
        <v>0</v>
      </c>
      <c r="V82" s="36" t="s">
        <v>6</v>
      </c>
      <c r="W82" s="45"/>
      <c r="X82" s="34"/>
      <c r="Y82"/>
      <c r="Z82"/>
      <c r="AA82" s="69"/>
      <c r="AB82" s="69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</row>
    <row r="83" spans="1:142" s="102" customFormat="1" ht="55.2" customHeight="1" x14ac:dyDescent="0.3">
      <c r="A83" s="126" t="s">
        <v>15</v>
      </c>
      <c r="B83" s="36" t="s">
        <v>224</v>
      </c>
      <c r="C83" s="127" t="s">
        <v>16</v>
      </c>
      <c r="D83" s="148">
        <v>45507</v>
      </c>
      <c r="E83" s="116" t="s">
        <v>36</v>
      </c>
      <c r="F83" s="129">
        <v>46601</v>
      </c>
      <c r="G83" s="123" t="s">
        <v>6</v>
      </c>
      <c r="H83" s="124" t="s">
        <v>6</v>
      </c>
      <c r="I83" s="124" t="s">
        <v>13</v>
      </c>
      <c r="J83" s="18" t="s">
        <v>6</v>
      </c>
      <c r="K83" s="24">
        <v>60</v>
      </c>
      <c r="L83" s="145" t="s">
        <v>6</v>
      </c>
      <c r="M83" s="18" t="s">
        <v>6</v>
      </c>
      <c r="N83" s="18" t="s">
        <v>6</v>
      </c>
      <c r="O83" s="27">
        <v>0</v>
      </c>
      <c r="P83" s="18" t="s">
        <v>6</v>
      </c>
      <c r="Q83" s="187" t="s">
        <v>14</v>
      </c>
      <c r="R83" s="48" t="s">
        <v>6</v>
      </c>
      <c r="S83" s="36" t="s">
        <v>6</v>
      </c>
      <c r="T83" s="64" t="s">
        <v>6</v>
      </c>
      <c r="U83" s="65">
        <v>0</v>
      </c>
      <c r="V83" s="36" t="s">
        <v>6</v>
      </c>
      <c r="W83" s="45"/>
      <c r="X83" s="51"/>
      <c r="Y83"/>
      <c r="Z83"/>
      <c r="AA83" s="69"/>
      <c r="AB83" s="69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</row>
    <row r="84" spans="1:142" ht="31.2" customHeight="1" x14ac:dyDescent="0.3">
      <c r="A84" s="35" t="s">
        <v>135</v>
      </c>
      <c r="B84" s="36" t="s">
        <v>180</v>
      </c>
      <c r="C84" s="59" t="s">
        <v>11</v>
      </c>
      <c r="D84" s="29">
        <v>45292</v>
      </c>
      <c r="E84" s="29" t="s">
        <v>181</v>
      </c>
      <c r="F84" s="29">
        <v>45657</v>
      </c>
      <c r="G84" s="30">
        <v>7.4999999999999997E-2</v>
      </c>
      <c r="H84" s="31">
        <v>158.57</v>
      </c>
      <c r="I84" s="17">
        <v>11.89</v>
      </c>
      <c r="J84" s="23" t="s">
        <v>6</v>
      </c>
      <c r="K84" s="24">
        <v>1520</v>
      </c>
      <c r="L84" s="37" t="s">
        <v>6</v>
      </c>
      <c r="M84" s="23" t="s">
        <v>6</v>
      </c>
      <c r="N84" s="23">
        <v>12</v>
      </c>
      <c r="O84" s="38">
        <f>I84*K84</f>
        <v>18072.8</v>
      </c>
      <c r="P84" s="23" t="s">
        <v>266</v>
      </c>
      <c r="Q84" s="23" t="s">
        <v>12</v>
      </c>
      <c r="R84" s="48" t="s">
        <v>6</v>
      </c>
      <c r="S84" s="48" t="str">
        <f t="shared" ref="S84" si="12">Q84</f>
        <v>20% Tasa Ocup.</v>
      </c>
      <c r="T84" s="64">
        <v>12</v>
      </c>
      <c r="U84" s="65">
        <f>0.2*O84</f>
        <v>3614.56</v>
      </c>
      <c r="V84" s="36" t="s">
        <v>266</v>
      </c>
      <c r="W84" s="45"/>
      <c r="X84" s="34"/>
      <c r="AA84" s="69"/>
      <c r="AB84" s="69"/>
    </row>
    <row r="85" spans="1:142" s="74" customFormat="1" ht="32.4" customHeight="1" thickBot="1" x14ac:dyDescent="0.35">
      <c r="B85" s="73"/>
      <c r="E85" s="73"/>
      <c r="F85" s="73"/>
      <c r="G85" s="75"/>
      <c r="H85" s="76"/>
      <c r="I85" s="77"/>
      <c r="K85" s="78"/>
      <c r="L85" s="78"/>
      <c r="M85" s="73"/>
      <c r="N85" s="73"/>
      <c r="O85" s="83">
        <f>SUM(O2:O84)</f>
        <v>688799.34223044629</v>
      </c>
      <c r="P85" s="79"/>
      <c r="Q85" s="79"/>
      <c r="R85" s="79"/>
      <c r="S85" s="79"/>
      <c r="T85" s="79"/>
      <c r="U85" s="83">
        <f>SUM(U2:U84)</f>
        <v>289271.26954200095</v>
      </c>
      <c r="V85" s="80">
        <f>SUM(O85:U85)</f>
        <v>978070.61177244724</v>
      </c>
    </row>
    <row r="94" spans="1:142" x14ac:dyDescent="0.3">
      <c r="B94"/>
      <c r="E94"/>
      <c r="F94"/>
      <c r="G94" s="10"/>
      <c r="I94" s="14"/>
      <c r="M94"/>
      <c r="N94"/>
      <c r="Q94"/>
      <c r="V94"/>
    </row>
    <row r="95" spans="1:142" x14ac:dyDescent="0.3">
      <c r="B95"/>
      <c r="E95"/>
      <c r="F95"/>
      <c r="G95" s="10"/>
      <c r="I95" s="14"/>
      <c r="M95"/>
      <c r="N95"/>
      <c r="Q95"/>
      <c r="V95"/>
    </row>
    <row r="96" spans="1:142" x14ac:dyDescent="0.3">
      <c r="B96"/>
      <c r="E96"/>
      <c r="F96"/>
      <c r="G96" s="10"/>
      <c r="I96" s="14"/>
      <c r="M96"/>
      <c r="N96"/>
      <c r="Q96"/>
      <c r="V96"/>
    </row>
    <row r="97" spans="2:22" x14ac:dyDescent="0.3">
      <c r="B97"/>
      <c r="E97"/>
      <c r="F97"/>
      <c r="G97" s="10"/>
      <c r="I97" s="14"/>
      <c r="M97"/>
      <c r="N97"/>
      <c r="Q97"/>
      <c r="V97"/>
    </row>
    <row r="98" spans="2:22" x14ac:dyDescent="0.3">
      <c r="B98"/>
      <c r="E98"/>
      <c r="F98"/>
      <c r="G98" s="10"/>
      <c r="I98" s="14"/>
      <c r="M98"/>
      <c r="N98"/>
      <c r="Q98"/>
      <c r="V98"/>
    </row>
    <row r="99" spans="2:22" x14ac:dyDescent="0.3">
      <c r="B99"/>
      <c r="E99"/>
      <c r="F99"/>
      <c r="G99" s="10"/>
      <c r="I99" s="14"/>
      <c r="M99"/>
      <c r="N99"/>
      <c r="Q99"/>
      <c r="V99"/>
    </row>
    <row r="100" spans="2:22" x14ac:dyDescent="0.3">
      <c r="B100"/>
      <c r="E100"/>
      <c r="F100"/>
      <c r="G100" s="10"/>
      <c r="I100" s="14"/>
      <c r="M100"/>
      <c r="N100"/>
      <c r="Q100"/>
      <c r="V100"/>
    </row>
    <row r="101" spans="2:22" x14ac:dyDescent="0.3">
      <c r="B101"/>
      <c r="E101"/>
      <c r="F101"/>
      <c r="G101" s="10"/>
      <c r="I101" s="14"/>
      <c r="M101"/>
      <c r="N101"/>
      <c r="Q101"/>
      <c r="V101"/>
    </row>
    <row r="102" spans="2:22" x14ac:dyDescent="0.3">
      <c r="B102"/>
      <c r="E102"/>
      <c r="F102"/>
      <c r="G102" s="10"/>
      <c r="I102" s="14"/>
      <c r="M102"/>
      <c r="N102"/>
      <c r="Q102"/>
      <c r="V102"/>
    </row>
    <row r="103" spans="2:22" x14ac:dyDescent="0.3">
      <c r="B103"/>
      <c r="E103"/>
      <c r="F103"/>
      <c r="G103" s="10"/>
      <c r="I103" s="14"/>
      <c r="M103"/>
      <c r="N103"/>
      <c r="Q103"/>
      <c r="V103"/>
    </row>
    <row r="104" spans="2:22" x14ac:dyDescent="0.3">
      <c r="B104"/>
      <c r="E104"/>
      <c r="F104"/>
      <c r="G104" s="10"/>
      <c r="I104" s="14"/>
      <c r="M104"/>
      <c r="N104"/>
      <c r="Q104"/>
      <c r="V104"/>
    </row>
    <row r="105" spans="2:22" x14ac:dyDescent="0.3">
      <c r="B105"/>
      <c r="E105"/>
      <c r="F105"/>
      <c r="G105" s="10"/>
      <c r="I105" s="14"/>
      <c r="M105"/>
      <c r="N105"/>
      <c r="Q105"/>
      <c r="V105"/>
    </row>
    <row r="106" spans="2:22" x14ac:dyDescent="0.3">
      <c r="B106"/>
      <c r="E106"/>
      <c r="F106"/>
      <c r="G106" s="10"/>
      <c r="I106" s="14"/>
      <c r="M106"/>
      <c r="N106"/>
      <c r="Q106"/>
      <c r="V106"/>
    </row>
    <row r="107" spans="2:22" x14ac:dyDescent="0.3">
      <c r="B107"/>
      <c r="E107"/>
      <c r="F107"/>
      <c r="G107" s="10"/>
      <c r="I107" s="14"/>
      <c r="M107"/>
      <c r="N107"/>
      <c r="Q107"/>
      <c r="V107"/>
    </row>
    <row r="108" spans="2:22" x14ac:dyDescent="0.3">
      <c r="B108"/>
      <c r="E108"/>
      <c r="F108"/>
      <c r="G108" s="10"/>
      <c r="I108" s="14"/>
      <c r="M108"/>
      <c r="N108"/>
      <c r="Q108"/>
      <c r="V108"/>
    </row>
    <row r="109" spans="2:22" x14ac:dyDescent="0.3">
      <c r="B109"/>
      <c r="E109"/>
      <c r="F109"/>
      <c r="G109" s="10"/>
      <c r="I109" s="14"/>
      <c r="M109"/>
      <c r="N109"/>
      <c r="Q109"/>
      <c r="V109"/>
    </row>
    <row r="110" spans="2:22" x14ac:dyDescent="0.3">
      <c r="B110"/>
      <c r="E110"/>
      <c r="F110"/>
      <c r="G110" s="10"/>
      <c r="I110" s="14"/>
      <c r="M110"/>
      <c r="N110"/>
      <c r="Q110"/>
      <c r="V110"/>
    </row>
    <row r="111" spans="2:22" x14ac:dyDescent="0.3">
      <c r="B111"/>
      <c r="E111"/>
      <c r="F111"/>
      <c r="G111" s="10"/>
      <c r="I111" s="14"/>
      <c r="M111"/>
      <c r="N111"/>
      <c r="Q111"/>
      <c r="V111"/>
    </row>
    <row r="112" spans="2:22" x14ac:dyDescent="0.3">
      <c r="B112"/>
      <c r="E112"/>
      <c r="F112"/>
      <c r="G112" s="10"/>
      <c r="I112" s="14"/>
      <c r="M112"/>
      <c r="N112"/>
      <c r="Q112"/>
      <c r="V112"/>
    </row>
    <row r="113" spans="2:22" x14ac:dyDescent="0.3">
      <c r="B113"/>
      <c r="E113"/>
      <c r="F113"/>
      <c r="G113" s="10"/>
      <c r="I113" s="14"/>
      <c r="M113"/>
      <c r="N113"/>
      <c r="Q113"/>
      <c r="V113"/>
    </row>
    <row r="114" spans="2:22" x14ac:dyDescent="0.3">
      <c r="B114"/>
      <c r="E114"/>
      <c r="F114"/>
      <c r="G114" s="10"/>
      <c r="I114" s="14"/>
      <c r="M114"/>
      <c r="N114"/>
      <c r="Q114"/>
      <c r="V114"/>
    </row>
    <row r="115" spans="2:22" x14ac:dyDescent="0.3">
      <c r="B115"/>
      <c r="E115"/>
      <c r="F115"/>
      <c r="G115" s="10"/>
      <c r="I115" s="14"/>
      <c r="M115"/>
      <c r="N115"/>
      <c r="Q115"/>
      <c r="V115"/>
    </row>
    <row r="116" spans="2:22" x14ac:dyDescent="0.3">
      <c r="B116"/>
      <c r="E116"/>
      <c r="F116"/>
      <c r="G116" s="10"/>
      <c r="I116" s="14"/>
      <c r="M116"/>
      <c r="N116"/>
      <c r="Q116"/>
      <c r="V116"/>
    </row>
    <row r="117" spans="2:22" x14ac:dyDescent="0.3">
      <c r="B117"/>
      <c r="E117"/>
      <c r="F117"/>
      <c r="G117" s="10"/>
      <c r="I117" s="14"/>
      <c r="M117"/>
      <c r="N117"/>
      <c r="Q117"/>
      <c r="V117"/>
    </row>
    <row r="118" spans="2:22" x14ac:dyDescent="0.3">
      <c r="B118"/>
      <c r="E118"/>
      <c r="F118"/>
      <c r="G118" s="10"/>
      <c r="I118" s="14"/>
      <c r="M118"/>
      <c r="N118"/>
      <c r="Q118"/>
      <c r="V118"/>
    </row>
    <row r="119" spans="2:22" x14ac:dyDescent="0.3">
      <c r="B119"/>
      <c r="E119"/>
      <c r="F119"/>
      <c r="G119" s="10"/>
      <c r="I119" s="14"/>
      <c r="M119"/>
      <c r="N119"/>
      <c r="Q119"/>
      <c r="V119"/>
    </row>
    <row r="120" spans="2:22" x14ac:dyDescent="0.3">
      <c r="B120"/>
      <c r="E120"/>
      <c r="F120"/>
      <c r="G120" s="10"/>
      <c r="I120" s="14"/>
      <c r="M120"/>
      <c r="N120"/>
      <c r="Q120"/>
      <c r="V120"/>
    </row>
    <row r="121" spans="2:22" x14ac:dyDescent="0.3">
      <c r="B121"/>
      <c r="E121"/>
      <c r="F121"/>
      <c r="G121" s="10"/>
      <c r="I121" s="14"/>
      <c r="M121"/>
      <c r="N121"/>
      <c r="Q121"/>
      <c r="V121"/>
    </row>
    <row r="122" spans="2:22" x14ac:dyDescent="0.3">
      <c r="B122"/>
      <c r="E122"/>
      <c r="F122"/>
      <c r="G122" s="10"/>
      <c r="I122" s="14"/>
      <c r="M122"/>
      <c r="N122"/>
      <c r="Q122"/>
      <c r="V122"/>
    </row>
    <row r="123" spans="2:22" x14ac:dyDescent="0.3">
      <c r="B123"/>
      <c r="E123"/>
      <c r="F123"/>
      <c r="G123" s="10"/>
      <c r="I123" s="14"/>
      <c r="M123"/>
      <c r="N123"/>
      <c r="Q123"/>
      <c r="V123"/>
    </row>
    <row r="124" spans="2:22" x14ac:dyDescent="0.3">
      <c r="B124"/>
      <c r="E124"/>
      <c r="F124"/>
      <c r="G124" s="10"/>
      <c r="I124" s="14"/>
      <c r="M124"/>
      <c r="N124"/>
      <c r="Q124"/>
      <c r="V124"/>
    </row>
    <row r="125" spans="2:22" x14ac:dyDescent="0.3">
      <c r="B125"/>
      <c r="E125"/>
      <c r="F125"/>
      <c r="G125" s="10"/>
      <c r="I125" s="14"/>
      <c r="M125"/>
      <c r="N125"/>
      <c r="Q125"/>
      <c r="V125"/>
    </row>
    <row r="126" spans="2:22" x14ac:dyDescent="0.3">
      <c r="B126"/>
      <c r="E126"/>
      <c r="F126"/>
      <c r="G126" s="10"/>
      <c r="I126" s="14"/>
      <c r="M126"/>
      <c r="N126"/>
      <c r="Q126"/>
      <c r="V126"/>
    </row>
    <row r="127" spans="2:22" x14ac:dyDescent="0.3">
      <c r="B127"/>
      <c r="E127"/>
      <c r="F127"/>
      <c r="G127" s="10"/>
      <c r="I127" s="14"/>
      <c r="M127"/>
      <c r="N127"/>
      <c r="Q127"/>
      <c r="V127"/>
    </row>
    <row r="128" spans="2:22" x14ac:dyDescent="0.3">
      <c r="B128"/>
      <c r="E128"/>
      <c r="F128"/>
      <c r="G128" s="10"/>
      <c r="I128" s="14"/>
      <c r="M128"/>
      <c r="N128"/>
      <c r="Q128"/>
      <c r="V128"/>
    </row>
    <row r="129" spans="2:22" x14ac:dyDescent="0.3">
      <c r="B129"/>
      <c r="E129"/>
      <c r="F129"/>
      <c r="G129" s="10"/>
      <c r="I129" s="14"/>
      <c r="M129"/>
      <c r="N129"/>
      <c r="Q129"/>
      <c r="V129"/>
    </row>
    <row r="130" spans="2:22" x14ac:dyDescent="0.3">
      <c r="B130"/>
      <c r="E130"/>
      <c r="F130"/>
      <c r="G130" s="10"/>
      <c r="I130" s="14"/>
      <c r="M130"/>
      <c r="N130"/>
      <c r="Q130"/>
      <c r="V130"/>
    </row>
    <row r="131" spans="2:22" x14ac:dyDescent="0.3">
      <c r="B131"/>
      <c r="E131"/>
      <c r="F131"/>
      <c r="G131" s="10"/>
      <c r="I131" s="14"/>
      <c r="M131"/>
      <c r="N131"/>
      <c r="Q131"/>
      <c r="V131"/>
    </row>
    <row r="132" spans="2:22" x14ac:dyDescent="0.3">
      <c r="B132"/>
      <c r="E132"/>
      <c r="F132"/>
      <c r="G132" s="10"/>
      <c r="I132" s="14"/>
      <c r="M132"/>
      <c r="N132"/>
      <c r="Q132"/>
      <c r="V132"/>
    </row>
    <row r="133" spans="2:22" x14ac:dyDescent="0.3">
      <c r="B133"/>
      <c r="E133"/>
      <c r="F133"/>
      <c r="G133" s="10"/>
      <c r="I133" s="14"/>
      <c r="M133"/>
      <c r="N133"/>
      <c r="Q133"/>
      <c r="V133"/>
    </row>
    <row r="134" spans="2:22" x14ac:dyDescent="0.3">
      <c r="B134"/>
      <c r="E134"/>
      <c r="F134"/>
      <c r="G134" s="10"/>
      <c r="I134" s="14"/>
      <c r="M134"/>
      <c r="N134"/>
      <c r="Q134"/>
      <c r="V134"/>
    </row>
    <row r="135" spans="2:22" x14ac:dyDescent="0.3">
      <c r="B135"/>
      <c r="E135"/>
      <c r="F135"/>
      <c r="G135" s="10"/>
      <c r="I135" s="14"/>
      <c r="M135"/>
      <c r="N135"/>
      <c r="Q135"/>
      <c r="V135"/>
    </row>
    <row r="136" spans="2:22" x14ac:dyDescent="0.3">
      <c r="B136"/>
      <c r="E136"/>
      <c r="F136"/>
      <c r="G136" s="10"/>
      <c r="I136" s="14"/>
      <c r="M136"/>
      <c r="N136"/>
      <c r="Q136"/>
      <c r="V136"/>
    </row>
    <row r="137" spans="2:22" x14ac:dyDescent="0.3">
      <c r="B137"/>
      <c r="E137"/>
      <c r="F137"/>
      <c r="G137" s="10"/>
      <c r="I137" s="14"/>
      <c r="M137"/>
      <c r="N137"/>
      <c r="Q137"/>
      <c r="V137"/>
    </row>
    <row r="138" spans="2:22" x14ac:dyDescent="0.3">
      <c r="B138"/>
      <c r="E138"/>
      <c r="F138"/>
      <c r="G138" s="10"/>
      <c r="I138" s="14"/>
      <c r="M138"/>
      <c r="N138"/>
      <c r="Q138"/>
      <c r="V138"/>
    </row>
    <row r="139" spans="2:22" x14ac:dyDescent="0.3">
      <c r="B139"/>
      <c r="E139"/>
      <c r="F139"/>
      <c r="G139" s="10"/>
      <c r="I139" s="14"/>
      <c r="M139"/>
      <c r="N139"/>
      <c r="Q139"/>
      <c r="V139"/>
    </row>
    <row r="140" spans="2:22" x14ac:dyDescent="0.3">
      <c r="B140"/>
      <c r="E140"/>
      <c r="F140"/>
      <c r="G140" s="10"/>
      <c r="I140" s="14"/>
      <c r="M140"/>
      <c r="N140"/>
      <c r="Q140"/>
      <c r="V140"/>
    </row>
    <row r="141" spans="2:22" x14ac:dyDescent="0.3">
      <c r="B141"/>
      <c r="E141"/>
      <c r="F141"/>
      <c r="G141" s="10"/>
      <c r="I141" s="14"/>
      <c r="M141"/>
      <c r="N141"/>
      <c r="Q141"/>
      <c r="V141"/>
    </row>
    <row r="142" spans="2:22" x14ac:dyDescent="0.3">
      <c r="B142"/>
      <c r="E142"/>
      <c r="F142"/>
      <c r="G142" s="10"/>
      <c r="I142" s="14"/>
      <c r="M142"/>
      <c r="N142"/>
      <c r="Q142"/>
      <c r="V142"/>
    </row>
    <row r="143" spans="2:22" x14ac:dyDescent="0.3">
      <c r="B143"/>
      <c r="E143"/>
      <c r="F143"/>
      <c r="G143" s="10"/>
      <c r="I143" s="14"/>
      <c r="M143"/>
      <c r="N143"/>
      <c r="Q143"/>
      <c r="V143"/>
    </row>
    <row r="144" spans="2:22" x14ac:dyDescent="0.3">
      <c r="B144"/>
      <c r="E144"/>
      <c r="F144"/>
      <c r="G144" s="10"/>
      <c r="I144" s="14"/>
      <c r="M144"/>
      <c r="N144"/>
      <c r="Q144"/>
      <c r="V144"/>
    </row>
    <row r="145" spans="2:22" x14ac:dyDescent="0.3">
      <c r="B145"/>
      <c r="E145"/>
      <c r="F145"/>
      <c r="G145" s="10"/>
      <c r="I145" s="14"/>
      <c r="M145"/>
      <c r="N145"/>
      <c r="Q145"/>
      <c r="V145"/>
    </row>
    <row r="146" spans="2:22" x14ac:dyDescent="0.3">
      <c r="B146"/>
      <c r="E146"/>
      <c r="F146"/>
      <c r="G146" s="10"/>
      <c r="I146" s="14"/>
      <c r="M146"/>
      <c r="N146"/>
      <c r="Q146"/>
      <c r="V146"/>
    </row>
    <row r="147" spans="2:22" x14ac:dyDescent="0.3">
      <c r="B147"/>
      <c r="E147"/>
      <c r="F147"/>
      <c r="G147" s="10"/>
      <c r="I147" s="14"/>
      <c r="M147"/>
      <c r="N147"/>
      <c r="Q147"/>
      <c r="V147"/>
    </row>
    <row r="148" spans="2:22" x14ac:dyDescent="0.3">
      <c r="B148"/>
      <c r="E148"/>
      <c r="F148"/>
      <c r="G148" s="10"/>
      <c r="I148" s="14"/>
      <c r="M148"/>
      <c r="N148"/>
      <c r="Q148"/>
      <c r="V148"/>
    </row>
    <row r="149" spans="2:22" x14ac:dyDescent="0.3">
      <c r="B149"/>
      <c r="E149"/>
      <c r="F149"/>
      <c r="G149" s="10"/>
      <c r="I149" s="14"/>
      <c r="M149"/>
      <c r="N149"/>
      <c r="Q149"/>
      <c r="V149"/>
    </row>
    <row r="150" spans="2:22" x14ac:dyDescent="0.3">
      <c r="B150"/>
      <c r="E150"/>
      <c r="F150"/>
      <c r="G150" s="10"/>
      <c r="I150" s="14"/>
      <c r="M150"/>
      <c r="N150"/>
      <c r="Q150"/>
      <c r="V150"/>
    </row>
    <row r="151" spans="2:22" x14ac:dyDescent="0.3">
      <c r="B151"/>
      <c r="E151"/>
      <c r="F151"/>
      <c r="G151" s="10"/>
      <c r="I151" s="14"/>
      <c r="M151"/>
      <c r="N151"/>
      <c r="Q151"/>
      <c r="V151"/>
    </row>
    <row r="152" spans="2:22" x14ac:dyDescent="0.3">
      <c r="B152"/>
      <c r="E152"/>
      <c r="F152"/>
      <c r="G152" s="10"/>
      <c r="I152" s="14"/>
      <c r="M152"/>
      <c r="N152"/>
      <c r="Q152"/>
      <c r="V152"/>
    </row>
    <row r="153" spans="2:22" x14ac:dyDescent="0.3">
      <c r="B153"/>
      <c r="E153"/>
      <c r="F153"/>
      <c r="G153" s="10"/>
      <c r="I153" s="14"/>
      <c r="M153"/>
      <c r="N153"/>
      <c r="Q153"/>
      <c r="V153"/>
    </row>
    <row r="154" spans="2:22" x14ac:dyDescent="0.3">
      <c r="B154"/>
      <c r="E154"/>
      <c r="F154"/>
      <c r="G154" s="10"/>
      <c r="I154" s="14"/>
      <c r="M154"/>
      <c r="N154"/>
      <c r="Q154"/>
      <c r="V154"/>
    </row>
    <row r="155" spans="2:22" x14ac:dyDescent="0.3">
      <c r="B155"/>
      <c r="E155"/>
      <c r="F155"/>
      <c r="G155" s="10"/>
      <c r="I155" s="14"/>
      <c r="M155"/>
      <c r="N155"/>
      <c r="Q155"/>
      <c r="V155"/>
    </row>
    <row r="156" spans="2:22" x14ac:dyDescent="0.3">
      <c r="B156"/>
      <c r="E156"/>
      <c r="F156"/>
      <c r="G156" s="10"/>
      <c r="I156" s="14"/>
      <c r="M156"/>
      <c r="N156"/>
      <c r="Q156"/>
      <c r="V156"/>
    </row>
    <row r="157" spans="2:22" x14ac:dyDescent="0.3">
      <c r="B157"/>
      <c r="E157"/>
      <c r="F157"/>
      <c r="G157" s="10"/>
      <c r="I157" s="14"/>
      <c r="M157"/>
      <c r="N157"/>
      <c r="Q157"/>
      <c r="V157"/>
    </row>
    <row r="158" spans="2:22" x14ac:dyDescent="0.3">
      <c r="B158"/>
      <c r="E158"/>
      <c r="F158"/>
      <c r="G158" s="10"/>
      <c r="I158" s="14"/>
      <c r="M158"/>
      <c r="N158"/>
      <c r="Q158"/>
      <c r="V158"/>
    </row>
    <row r="159" spans="2:22" x14ac:dyDescent="0.3">
      <c r="B159"/>
      <c r="E159"/>
      <c r="F159"/>
      <c r="G159" s="10"/>
      <c r="I159" s="14"/>
      <c r="M159"/>
      <c r="N159"/>
      <c r="Q159"/>
      <c r="V159"/>
    </row>
    <row r="160" spans="2:22" x14ac:dyDescent="0.3">
      <c r="B160"/>
      <c r="E160"/>
      <c r="F160"/>
      <c r="G160" s="10"/>
      <c r="I160" s="14"/>
      <c r="M160"/>
      <c r="N160"/>
      <c r="Q160"/>
      <c r="V160"/>
    </row>
    <row r="161" spans="2:22" x14ac:dyDescent="0.3">
      <c r="B161"/>
      <c r="E161"/>
      <c r="F161"/>
      <c r="G161" s="10"/>
      <c r="I161" s="14"/>
      <c r="M161"/>
      <c r="N161"/>
      <c r="Q161"/>
      <c r="V161"/>
    </row>
    <row r="162" spans="2:22" x14ac:dyDescent="0.3">
      <c r="B162"/>
      <c r="E162"/>
      <c r="F162"/>
      <c r="G162" s="10"/>
      <c r="I162" s="14"/>
      <c r="M162"/>
      <c r="N162"/>
      <c r="Q162"/>
      <c r="V162"/>
    </row>
    <row r="163" spans="2:22" x14ac:dyDescent="0.3">
      <c r="B163"/>
      <c r="E163"/>
      <c r="F163"/>
      <c r="G163" s="10"/>
      <c r="I163" s="14"/>
      <c r="M163"/>
      <c r="N163"/>
      <c r="Q163"/>
      <c r="V163"/>
    </row>
    <row r="164" spans="2:22" x14ac:dyDescent="0.3">
      <c r="B164"/>
      <c r="E164"/>
      <c r="F164"/>
      <c r="G164" s="10"/>
      <c r="I164" s="14"/>
      <c r="M164"/>
      <c r="N164"/>
      <c r="Q164"/>
      <c r="V164"/>
    </row>
    <row r="165" spans="2:22" x14ac:dyDescent="0.3">
      <c r="B165"/>
      <c r="E165"/>
      <c r="F165"/>
      <c r="G165" s="10"/>
      <c r="I165" s="14"/>
      <c r="M165"/>
      <c r="N165"/>
      <c r="Q165"/>
      <c r="V165"/>
    </row>
    <row r="166" spans="2:22" x14ac:dyDescent="0.3">
      <c r="B166"/>
      <c r="E166"/>
      <c r="F166"/>
      <c r="G166" s="10"/>
      <c r="I166" s="14"/>
      <c r="M166"/>
      <c r="N166"/>
      <c r="Q166"/>
      <c r="V166"/>
    </row>
    <row r="167" spans="2:22" x14ac:dyDescent="0.3">
      <c r="B167"/>
      <c r="E167"/>
      <c r="F167"/>
      <c r="G167" s="10"/>
      <c r="I167" s="14"/>
      <c r="M167"/>
      <c r="N167"/>
      <c r="Q167"/>
      <c r="V167"/>
    </row>
    <row r="168" spans="2:22" x14ac:dyDescent="0.3">
      <c r="B168"/>
      <c r="E168"/>
      <c r="F168"/>
      <c r="G168" s="10"/>
      <c r="I168" s="14"/>
      <c r="M168"/>
      <c r="N168"/>
      <c r="Q168"/>
      <c r="V168"/>
    </row>
    <row r="169" spans="2:22" x14ac:dyDescent="0.3">
      <c r="B169"/>
      <c r="E169"/>
      <c r="F169"/>
      <c r="G169" s="10"/>
      <c r="I169" s="14"/>
      <c r="M169"/>
      <c r="N169"/>
      <c r="Q169"/>
      <c r="V169"/>
    </row>
    <row r="170" spans="2:22" x14ac:dyDescent="0.3">
      <c r="B170"/>
      <c r="E170"/>
      <c r="F170"/>
      <c r="G170" s="10"/>
      <c r="I170" s="14"/>
      <c r="M170"/>
      <c r="N170"/>
      <c r="Q170"/>
      <c r="V170"/>
    </row>
    <row r="171" spans="2:22" x14ac:dyDescent="0.3">
      <c r="B171"/>
      <c r="E171"/>
      <c r="F171"/>
      <c r="G171" s="10"/>
      <c r="I171" s="14"/>
      <c r="M171"/>
      <c r="N171"/>
      <c r="Q171"/>
      <c r="V171"/>
    </row>
    <row r="172" spans="2:22" x14ac:dyDescent="0.3">
      <c r="B172"/>
      <c r="E172"/>
      <c r="F172"/>
      <c r="G172" s="10"/>
      <c r="I172" s="14"/>
      <c r="M172"/>
      <c r="N172"/>
      <c r="Q172"/>
      <c r="V172"/>
    </row>
    <row r="173" spans="2:22" x14ac:dyDescent="0.3">
      <c r="B173"/>
      <c r="E173"/>
      <c r="F173"/>
      <c r="G173" s="10"/>
      <c r="I173" s="14"/>
      <c r="M173"/>
      <c r="N173"/>
      <c r="Q173"/>
      <c r="V173"/>
    </row>
    <row r="174" spans="2:22" x14ac:dyDescent="0.3">
      <c r="B174"/>
      <c r="E174"/>
      <c r="F174"/>
      <c r="G174" s="10"/>
      <c r="I174" s="14"/>
      <c r="M174"/>
      <c r="N174"/>
      <c r="Q174"/>
      <c r="V174"/>
    </row>
    <row r="175" spans="2:22" x14ac:dyDescent="0.3">
      <c r="B175"/>
      <c r="E175"/>
      <c r="F175"/>
      <c r="G175" s="10"/>
      <c r="I175" s="14"/>
      <c r="M175"/>
      <c r="N175"/>
      <c r="Q175"/>
      <c r="V175"/>
    </row>
    <row r="176" spans="2:22" x14ac:dyDescent="0.3">
      <c r="B176"/>
      <c r="E176"/>
      <c r="F176"/>
      <c r="G176" s="10"/>
      <c r="I176" s="14"/>
      <c r="M176"/>
      <c r="N176"/>
      <c r="Q176"/>
      <c r="V176"/>
    </row>
    <row r="177" spans="2:22" x14ac:dyDescent="0.3">
      <c r="B177"/>
      <c r="E177"/>
      <c r="F177"/>
      <c r="G177" s="10"/>
      <c r="I177" s="14"/>
      <c r="M177"/>
      <c r="N177"/>
      <c r="Q177"/>
      <c r="V177"/>
    </row>
    <row r="178" spans="2:22" x14ac:dyDescent="0.3">
      <c r="B178"/>
      <c r="E178"/>
      <c r="F178"/>
      <c r="G178" s="10"/>
      <c r="I178" s="14"/>
      <c r="M178"/>
      <c r="N178"/>
      <c r="Q178"/>
      <c r="V178"/>
    </row>
    <row r="179" spans="2:22" x14ac:dyDescent="0.3">
      <c r="B179"/>
      <c r="E179"/>
      <c r="F179"/>
      <c r="G179" s="10"/>
      <c r="I179" s="14"/>
      <c r="M179"/>
      <c r="N179"/>
      <c r="Q179"/>
      <c r="V179"/>
    </row>
    <row r="180" spans="2:22" x14ac:dyDescent="0.3">
      <c r="B180"/>
      <c r="E180"/>
      <c r="F180"/>
      <c r="G180" s="10"/>
      <c r="I180" s="14"/>
      <c r="M180"/>
      <c r="N180"/>
      <c r="Q180"/>
      <c r="V180"/>
    </row>
    <row r="181" spans="2:22" x14ac:dyDescent="0.3">
      <c r="B181"/>
      <c r="E181"/>
      <c r="F181"/>
      <c r="G181" s="10"/>
      <c r="I181" s="14"/>
      <c r="M181"/>
      <c r="N181"/>
      <c r="Q181"/>
      <c r="V181"/>
    </row>
    <row r="182" spans="2:22" x14ac:dyDescent="0.3">
      <c r="B182"/>
      <c r="E182"/>
      <c r="F182"/>
      <c r="G182" s="10"/>
      <c r="I182" s="14"/>
      <c r="M182"/>
      <c r="N182"/>
      <c r="Q182"/>
      <c r="V182"/>
    </row>
    <row r="183" spans="2:22" x14ac:dyDescent="0.3">
      <c r="B183"/>
      <c r="E183"/>
      <c r="F183"/>
      <c r="G183" s="10"/>
      <c r="I183" s="14"/>
      <c r="M183"/>
      <c r="N183"/>
      <c r="Q183"/>
      <c r="V183"/>
    </row>
    <row r="184" spans="2:22" x14ac:dyDescent="0.3">
      <c r="B184"/>
      <c r="E184"/>
      <c r="F184"/>
      <c r="G184" s="10"/>
      <c r="I184" s="14"/>
      <c r="M184"/>
      <c r="N184"/>
      <c r="Q184"/>
      <c r="V184"/>
    </row>
    <row r="185" spans="2:22" x14ac:dyDescent="0.3">
      <c r="B185"/>
      <c r="E185"/>
      <c r="F185"/>
      <c r="G185" s="10"/>
      <c r="I185" s="14"/>
      <c r="M185"/>
      <c r="N185"/>
      <c r="Q185"/>
      <c r="V185"/>
    </row>
    <row r="186" spans="2:22" x14ac:dyDescent="0.3">
      <c r="B186"/>
      <c r="E186"/>
      <c r="F186"/>
      <c r="G186" s="10"/>
      <c r="I186" s="14"/>
      <c r="M186"/>
      <c r="N186"/>
      <c r="Q186"/>
      <c r="V186"/>
    </row>
    <row r="187" spans="2:22" x14ac:dyDescent="0.3">
      <c r="B187"/>
      <c r="E187"/>
      <c r="F187"/>
      <c r="G187" s="10"/>
      <c r="I187" s="14"/>
      <c r="M187"/>
      <c r="N187"/>
      <c r="Q187"/>
      <c r="V187"/>
    </row>
    <row r="188" spans="2:22" x14ac:dyDescent="0.3">
      <c r="B188"/>
      <c r="E188"/>
      <c r="F188"/>
      <c r="G188" s="10"/>
      <c r="I188" s="14"/>
      <c r="M188"/>
      <c r="N188"/>
      <c r="Q188"/>
      <c r="V188"/>
    </row>
    <row r="189" spans="2:22" x14ac:dyDescent="0.3">
      <c r="B189"/>
      <c r="E189"/>
      <c r="F189"/>
      <c r="G189" s="10"/>
      <c r="I189" s="14"/>
      <c r="M189"/>
      <c r="N189"/>
      <c r="Q189"/>
      <c r="V189"/>
    </row>
    <row r="190" spans="2:22" x14ac:dyDescent="0.3">
      <c r="B190"/>
      <c r="E190"/>
      <c r="F190"/>
      <c r="G190" s="10"/>
      <c r="I190" s="14"/>
      <c r="M190"/>
      <c r="N190"/>
      <c r="Q190"/>
      <c r="V190"/>
    </row>
    <row r="191" spans="2:22" x14ac:dyDescent="0.3">
      <c r="B191"/>
      <c r="E191"/>
      <c r="F191"/>
      <c r="G191" s="10"/>
      <c r="I191" s="14"/>
      <c r="M191"/>
      <c r="N191"/>
      <c r="Q191"/>
      <c r="V191"/>
    </row>
    <row r="192" spans="2:22" x14ac:dyDescent="0.3">
      <c r="B192"/>
      <c r="E192"/>
      <c r="F192"/>
      <c r="G192" s="10"/>
      <c r="I192" s="14"/>
      <c r="M192"/>
      <c r="N192"/>
      <c r="Q192"/>
      <c r="V192"/>
    </row>
    <row r="193" spans="2:22" x14ac:dyDescent="0.3">
      <c r="B193"/>
      <c r="E193"/>
      <c r="F193"/>
      <c r="G193" s="10"/>
      <c r="I193" s="14"/>
      <c r="M193"/>
      <c r="N193"/>
      <c r="Q193"/>
      <c r="V193"/>
    </row>
    <row r="194" spans="2:22" x14ac:dyDescent="0.3">
      <c r="B194"/>
      <c r="E194"/>
      <c r="F194"/>
      <c r="G194" s="10"/>
      <c r="I194" s="14"/>
      <c r="M194"/>
      <c r="N194"/>
      <c r="Q194"/>
      <c r="V194"/>
    </row>
    <row r="195" spans="2:22" x14ac:dyDescent="0.3">
      <c r="B195"/>
      <c r="E195"/>
      <c r="F195"/>
      <c r="G195" s="10"/>
      <c r="I195" s="14"/>
      <c r="M195"/>
      <c r="N195"/>
      <c r="Q195"/>
      <c r="V195"/>
    </row>
    <row r="196" spans="2:22" x14ac:dyDescent="0.3">
      <c r="B196"/>
      <c r="E196"/>
      <c r="F196"/>
      <c r="G196" s="10"/>
      <c r="I196" s="14"/>
      <c r="M196"/>
      <c r="N196"/>
      <c r="Q196"/>
      <c r="V196"/>
    </row>
    <row r="197" spans="2:22" x14ac:dyDescent="0.3">
      <c r="B197"/>
      <c r="E197"/>
      <c r="F197"/>
      <c r="G197" s="10"/>
      <c r="I197" s="14"/>
      <c r="M197"/>
      <c r="N197"/>
      <c r="Q197"/>
      <c r="V197"/>
    </row>
    <row r="198" spans="2:22" x14ac:dyDescent="0.3">
      <c r="B198"/>
      <c r="E198"/>
      <c r="F198"/>
      <c r="G198" s="10"/>
      <c r="I198" s="14"/>
      <c r="M198"/>
      <c r="N198"/>
      <c r="Q198"/>
      <c r="V198"/>
    </row>
    <row r="199" spans="2:22" x14ac:dyDescent="0.3">
      <c r="B199"/>
      <c r="E199"/>
      <c r="F199"/>
      <c r="G199" s="10"/>
      <c r="I199" s="14"/>
      <c r="M199"/>
      <c r="N199"/>
      <c r="Q199"/>
      <c r="V199"/>
    </row>
    <row r="200" spans="2:22" x14ac:dyDescent="0.3">
      <c r="B200"/>
      <c r="E200"/>
      <c r="F200"/>
      <c r="G200" s="10"/>
      <c r="I200" s="14"/>
      <c r="M200"/>
      <c r="N200"/>
      <c r="Q200"/>
      <c r="V200"/>
    </row>
  </sheetData>
  <mergeCells count="223">
    <mergeCell ref="B28:B29"/>
    <mergeCell ref="C28:C29"/>
    <mergeCell ref="D28:D29"/>
    <mergeCell ref="E28:E29"/>
    <mergeCell ref="F28:F29"/>
    <mergeCell ref="X71:X72"/>
    <mergeCell ref="N71:N72"/>
    <mergeCell ref="O71:O72"/>
    <mergeCell ref="Q64:Q65"/>
    <mergeCell ref="R64:R65"/>
    <mergeCell ref="S64:S65"/>
    <mergeCell ref="T64:T65"/>
    <mergeCell ref="U64:U65"/>
    <mergeCell ref="V64:V65"/>
    <mergeCell ref="W64:W65"/>
    <mergeCell ref="X64:X65"/>
    <mergeCell ref="N42:N43"/>
    <mergeCell ref="O42:O43"/>
    <mergeCell ref="P42:P43"/>
    <mergeCell ref="P71:P72"/>
    <mergeCell ref="Q71:Q72"/>
    <mergeCell ref="R71:R72"/>
    <mergeCell ref="E66:E67"/>
    <mergeCell ref="S71:S72"/>
    <mergeCell ref="W6:W7"/>
    <mergeCell ref="X6:X7"/>
    <mergeCell ref="U6:U7"/>
    <mergeCell ref="U60:U61"/>
    <mergeCell ref="V60:V61"/>
    <mergeCell ref="W60:W61"/>
    <mergeCell ref="W22:W23"/>
    <mergeCell ref="X22:X23"/>
    <mergeCell ref="X42:X43"/>
    <mergeCell ref="V22:V23"/>
    <mergeCell ref="V6:V7"/>
    <mergeCell ref="X60:X61"/>
    <mergeCell ref="U39:U40"/>
    <mergeCell ref="V39:V40"/>
    <mergeCell ref="W39:W40"/>
    <mergeCell ref="V71:V72"/>
    <mergeCell ref="T11:T12"/>
    <mergeCell ref="U11:U12"/>
    <mergeCell ref="V11:V12"/>
    <mergeCell ref="W42:W43"/>
    <mergeCell ref="T42:T43"/>
    <mergeCell ref="U42:U43"/>
    <mergeCell ref="V42:V43"/>
    <mergeCell ref="E11:E12"/>
    <mergeCell ref="E42:E43"/>
    <mergeCell ref="R60:R61"/>
    <mergeCell ref="S60:S61"/>
    <mergeCell ref="M11:M12"/>
    <mergeCell ref="E22:E23"/>
    <mergeCell ref="F22:F23"/>
    <mergeCell ref="J22:J23"/>
    <mergeCell ref="L22:L23"/>
    <mergeCell ref="M22:M23"/>
    <mergeCell ref="Q11:Q12"/>
    <mergeCell ref="R11:R12"/>
    <mergeCell ref="N22:N23"/>
    <mergeCell ref="O22:O23"/>
    <mergeCell ref="S11:S12"/>
    <mergeCell ref="N60:N61"/>
    <mergeCell ref="O60:O61"/>
    <mergeCell ref="P60:P61"/>
    <mergeCell ref="Q60:Q61"/>
    <mergeCell ref="L28:L29"/>
    <mergeCell ref="M28:M29"/>
    <mergeCell ref="N28:N29"/>
    <mergeCell ref="O28:O29"/>
    <mergeCell ref="P28:P29"/>
    <mergeCell ref="B71:B72"/>
    <mergeCell ref="C71:C72"/>
    <mergeCell ref="D71:D72"/>
    <mergeCell ref="E71:E72"/>
    <mergeCell ref="F71:F72"/>
    <mergeCell ref="J71:J72"/>
    <mergeCell ref="A26:A27"/>
    <mergeCell ref="C26:C27"/>
    <mergeCell ref="A64:A65"/>
    <mergeCell ref="B64:B65"/>
    <mergeCell ref="C64:C65"/>
    <mergeCell ref="B42:B43"/>
    <mergeCell ref="C42:C43"/>
    <mergeCell ref="A60:A61"/>
    <mergeCell ref="B60:B61"/>
    <mergeCell ref="C60:C61"/>
    <mergeCell ref="D64:D65"/>
    <mergeCell ref="E64:E65"/>
    <mergeCell ref="F64:F65"/>
    <mergeCell ref="A28:A29"/>
    <mergeCell ref="L71:L72"/>
    <mergeCell ref="M71:M72"/>
    <mergeCell ref="T71:T72"/>
    <mergeCell ref="U71:U72"/>
    <mergeCell ref="W71:W72"/>
    <mergeCell ref="A4:A5"/>
    <mergeCell ref="B4:B5"/>
    <mergeCell ref="C4:C5"/>
    <mergeCell ref="D4:D5"/>
    <mergeCell ref="A22:A23"/>
    <mergeCell ref="B22:B23"/>
    <mergeCell ref="C22:C23"/>
    <mergeCell ref="D22:D23"/>
    <mergeCell ref="A11:A12"/>
    <mergeCell ref="B11:B12"/>
    <mergeCell ref="C11:C12"/>
    <mergeCell ref="D11:D12"/>
    <mergeCell ref="A71:A72"/>
    <mergeCell ref="A6:A7"/>
    <mergeCell ref="B6:B7"/>
    <mergeCell ref="C6:C7"/>
    <mergeCell ref="E4:E5"/>
    <mergeCell ref="F4:F5"/>
    <mergeCell ref="M4:M5"/>
    <mergeCell ref="N4:N5"/>
    <mergeCell ref="S4:S5"/>
    <mergeCell ref="T4:T5"/>
    <mergeCell ref="D6:D7"/>
    <mergeCell ref="E6:E7"/>
    <mergeCell ref="F6:F7"/>
    <mergeCell ref="M6:M7"/>
    <mergeCell ref="N6:N7"/>
    <mergeCell ref="X4:X5"/>
    <mergeCell ref="F26:F27"/>
    <mergeCell ref="U4:U5"/>
    <mergeCell ref="O6:O7"/>
    <mergeCell ref="P6:P7"/>
    <mergeCell ref="Q6:Q7"/>
    <mergeCell ref="R6:R7"/>
    <mergeCell ref="S6:S7"/>
    <mergeCell ref="T6:T7"/>
    <mergeCell ref="R4:R5"/>
    <mergeCell ref="R22:R23"/>
    <mergeCell ref="S22:S23"/>
    <mergeCell ref="T22:T23"/>
    <mergeCell ref="U22:U23"/>
    <mergeCell ref="X11:X12"/>
    <mergeCell ref="W11:W12"/>
    <mergeCell ref="N11:N12"/>
    <mergeCell ref="O11:O12"/>
    <mergeCell ref="P11:P12"/>
    <mergeCell ref="P22:P23"/>
    <mergeCell ref="Q22:Q23"/>
    <mergeCell ref="B26:B27"/>
    <mergeCell ref="X26:X27"/>
    <mergeCell ref="L26:L27"/>
    <mergeCell ref="Q26:Q27"/>
    <mergeCell ref="R26:R27"/>
    <mergeCell ref="P26:P27"/>
    <mergeCell ref="O4:O5"/>
    <mergeCell ref="S26:S27"/>
    <mergeCell ref="T26:T27"/>
    <mergeCell ref="U26:U27"/>
    <mergeCell ref="V26:V27"/>
    <mergeCell ref="W26:W27"/>
    <mergeCell ref="M26:M27"/>
    <mergeCell ref="N26:N27"/>
    <mergeCell ref="O26:O27"/>
    <mergeCell ref="W4:W5"/>
    <mergeCell ref="P4:P5"/>
    <mergeCell ref="Q4:Q5"/>
    <mergeCell ref="V4:V5"/>
    <mergeCell ref="F11:F12"/>
    <mergeCell ref="J11:J12"/>
    <mergeCell ref="L11:L12"/>
    <mergeCell ref="E26:E27"/>
    <mergeCell ref="D26:D27"/>
    <mergeCell ref="T60:T61"/>
    <mergeCell ref="V66:V67"/>
    <mergeCell ref="W66:W67"/>
    <mergeCell ref="M66:M67"/>
    <mergeCell ref="N66:N67"/>
    <mergeCell ref="O66:O67"/>
    <mergeCell ref="P66:P67"/>
    <mergeCell ref="Q66:Q67"/>
    <mergeCell ref="R66:R67"/>
    <mergeCell ref="S66:S67"/>
    <mergeCell ref="T66:T67"/>
    <mergeCell ref="Q42:Q43"/>
    <mergeCell ref="R42:R43"/>
    <mergeCell ref="A66:A67"/>
    <mergeCell ref="C66:C67"/>
    <mergeCell ref="M64:M65"/>
    <mergeCell ref="N64:N65"/>
    <mergeCell ref="O64:O65"/>
    <mergeCell ref="P64:P65"/>
    <mergeCell ref="S42:S43"/>
    <mergeCell ref="M42:M43"/>
    <mergeCell ref="U66:U67"/>
    <mergeCell ref="D66:D67"/>
    <mergeCell ref="D42:D43"/>
    <mergeCell ref="F42:F43"/>
    <mergeCell ref="G42:G43"/>
    <mergeCell ref="D60:D61"/>
    <mergeCell ref="E60:E61"/>
    <mergeCell ref="F60:F61"/>
    <mergeCell ref="A42:A43"/>
    <mergeCell ref="F66:F67"/>
    <mergeCell ref="Q28:Q29"/>
    <mergeCell ref="R28:R29"/>
    <mergeCell ref="S28:S29"/>
    <mergeCell ref="T28:T29"/>
    <mergeCell ref="U28:U29"/>
    <mergeCell ref="V28:V29"/>
    <mergeCell ref="W28:W29"/>
    <mergeCell ref="X28:X29"/>
    <mergeCell ref="A39:A40"/>
    <mergeCell ref="B39:B40"/>
    <mergeCell ref="C39:C40"/>
    <mergeCell ref="D39:D40"/>
    <mergeCell ref="E39:E40"/>
    <mergeCell ref="F39:F40"/>
    <mergeCell ref="J39:J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</mergeCells>
  <phoneticPr fontId="9" type="noConversion"/>
  <hyperlinks>
    <hyperlink ref="X18" r:id="rId1" xr:uid="{4EEE67FE-5DA8-4CC4-9BBA-EC37B6DA6E4E}"/>
    <hyperlink ref="X20" r:id="rId2" xr:uid="{CE384498-9A2F-4ABE-8075-E620B9D08765}"/>
    <hyperlink ref="X30" r:id="rId3" xr:uid="{5993C369-F078-441D-932E-0AA00EEC2A0A}"/>
    <hyperlink ref="X22" r:id="rId4" xr:uid="{134AD148-FD5C-4772-93EB-58258C6B7AE8}"/>
    <hyperlink ref="X60" r:id="rId5" xr:uid="{C5F4F3AB-A38F-482F-90A0-C8898C0B6921}"/>
    <hyperlink ref="X55" r:id="rId6" xr:uid="{8488615A-4993-400F-AC27-6D3C01D2A36E}"/>
    <hyperlink ref="X11" r:id="rId7" xr:uid="{7238FB0A-F8FD-4206-94A4-603A86BD7027}"/>
  </hyperlinks>
  <pageMargins left="0.23622047244094491" right="0.23622047244094491" top="0.74803149606299213" bottom="0.74803149606299213" header="0.31496062992125984" footer="0.31496062992125984"/>
  <pageSetup paperSize="8" scale="35" fitToHeight="2" orientation="landscape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R23"/>
  <sheetViews>
    <sheetView topLeftCell="A4" workbookViewId="0">
      <selection activeCell="H9" sqref="H9"/>
    </sheetView>
  </sheetViews>
  <sheetFormatPr baseColWidth="10" defaultRowHeight="14.4" x14ac:dyDescent="0.3"/>
  <cols>
    <col min="1" max="1" width="20.88671875" customWidth="1"/>
    <col min="2" max="2" width="18" customWidth="1"/>
    <col min="3" max="4" width="13.33203125" customWidth="1"/>
    <col min="5" max="5" width="19.5546875" customWidth="1"/>
    <col min="6" max="6" width="23" customWidth="1"/>
    <col min="7" max="8" width="17.6640625" customWidth="1"/>
    <col min="9" max="9" width="15.6640625" customWidth="1"/>
    <col min="10" max="11" width="20.5546875" customWidth="1"/>
    <col min="12" max="12" width="20.33203125" customWidth="1"/>
    <col min="13" max="14" width="11.6640625" customWidth="1"/>
    <col min="15" max="15" width="15.6640625" customWidth="1"/>
    <col min="16" max="16" width="17.6640625" customWidth="1"/>
    <col min="17" max="17" width="21.109375" customWidth="1"/>
    <col min="18" max="18" width="19.21875" customWidth="1"/>
    <col min="19" max="19" width="50.6640625" customWidth="1"/>
    <col min="20" max="20" width="20.6640625" customWidth="1"/>
  </cols>
  <sheetData>
    <row r="7" spans="3:18" s="56" customFormat="1" ht="25.2" customHeight="1" x14ac:dyDescent="0.3">
      <c r="D7" s="56" t="s">
        <v>310</v>
      </c>
      <c r="E7" s="56" t="s">
        <v>311</v>
      </c>
      <c r="F7" s="56" t="s">
        <v>312</v>
      </c>
      <c r="G7" s="56" t="s">
        <v>313</v>
      </c>
      <c r="H7" s="56" t="s">
        <v>314</v>
      </c>
      <c r="I7" s="56" t="s">
        <v>282</v>
      </c>
      <c r="J7" s="56" t="s">
        <v>283</v>
      </c>
      <c r="K7" s="70" t="s">
        <v>284</v>
      </c>
      <c r="L7" s="70" t="s">
        <v>285</v>
      </c>
      <c r="M7" s="56" t="s">
        <v>301</v>
      </c>
      <c r="N7" s="56" t="s">
        <v>306</v>
      </c>
      <c r="O7" s="56" t="s">
        <v>305</v>
      </c>
      <c r="P7" s="56" t="s">
        <v>307</v>
      </c>
      <c r="Q7" s="56" t="s">
        <v>308</v>
      </c>
      <c r="R7" s="56" t="s">
        <v>309</v>
      </c>
    </row>
    <row r="8" spans="3:18" s="56" customFormat="1" ht="25.2" customHeight="1" x14ac:dyDescent="0.3">
      <c r="C8" s="56" t="s">
        <v>270</v>
      </c>
      <c r="D8" s="98">
        <v>3091.15</v>
      </c>
      <c r="E8" s="231">
        <v>5435.04</v>
      </c>
      <c r="F8" s="98">
        <v>68685.75</v>
      </c>
      <c r="G8" s="98">
        <v>4121.1499999999996</v>
      </c>
      <c r="H8" s="98">
        <v>747.38</v>
      </c>
      <c r="I8" s="98">
        <v>163.30000000000001</v>
      </c>
      <c r="J8" s="98">
        <v>57586.36</v>
      </c>
      <c r="K8" s="98">
        <v>173.14</v>
      </c>
      <c r="L8" s="98"/>
      <c r="M8" s="98"/>
      <c r="N8" s="98">
        <v>706.82</v>
      </c>
      <c r="O8" s="98">
        <v>31414.12</v>
      </c>
      <c r="P8" s="98">
        <v>10677.01</v>
      </c>
      <c r="Q8" s="98">
        <v>0</v>
      </c>
      <c r="R8" s="98" t="s">
        <v>6</v>
      </c>
    </row>
    <row r="9" spans="3:18" s="56" customFormat="1" ht="25.2" customHeight="1" x14ac:dyDescent="0.3">
      <c r="C9" s="56" t="s">
        <v>271</v>
      </c>
      <c r="D9" s="98">
        <v>13483.5</v>
      </c>
      <c r="E9" s="262"/>
      <c r="F9" s="98">
        <v>70493.919999999998</v>
      </c>
      <c r="G9" s="98">
        <v>4229.6400000000003</v>
      </c>
      <c r="H9" s="98"/>
      <c r="I9" s="98">
        <v>199.14</v>
      </c>
      <c r="J9" s="98">
        <v>83114.5</v>
      </c>
      <c r="K9" s="98">
        <v>249.35</v>
      </c>
      <c r="L9" s="98"/>
      <c r="M9" s="98"/>
      <c r="N9" s="98">
        <v>733.24</v>
      </c>
      <c r="O9" s="98">
        <v>32588.34</v>
      </c>
      <c r="P9" s="98">
        <v>10677.01</v>
      </c>
      <c r="Q9" s="98">
        <v>0</v>
      </c>
      <c r="R9" s="98" t="s">
        <v>6</v>
      </c>
    </row>
    <row r="10" spans="3:18" s="56" customFormat="1" ht="25.2" customHeight="1" x14ac:dyDescent="0.3">
      <c r="C10" s="56" t="s">
        <v>272</v>
      </c>
      <c r="D10" s="98">
        <v>19735.82</v>
      </c>
      <c r="E10" s="262"/>
      <c r="F10" s="98">
        <v>74229.649999999994</v>
      </c>
      <c r="G10" s="98">
        <v>4453.78</v>
      </c>
      <c r="H10" s="98"/>
      <c r="I10" s="98">
        <v>163.26</v>
      </c>
      <c r="J10" s="98">
        <v>45631.21</v>
      </c>
      <c r="K10" s="98">
        <v>136.88999999999999</v>
      </c>
      <c r="L10" s="98">
        <v>0</v>
      </c>
      <c r="M10" s="98"/>
      <c r="N10" s="98">
        <v>1047.1600000000001</v>
      </c>
      <c r="O10" s="98">
        <v>46540.51</v>
      </c>
      <c r="P10" s="98">
        <v>10677.01</v>
      </c>
      <c r="Q10" s="98">
        <v>0</v>
      </c>
      <c r="R10" s="98" t="s">
        <v>6</v>
      </c>
    </row>
    <row r="11" spans="3:18" s="56" customFormat="1" ht="25.2" customHeight="1" x14ac:dyDescent="0.3">
      <c r="C11" s="56" t="s">
        <v>273</v>
      </c>
      <c r="D11" s="98">
        <v>10531.77</v>
      </c>
      <c r="E11" s="262"/>
      <c r="F11" s="98">
        <v>85637.34</v>
      </c>
      <c r="G11" s="98">
        <v>5138.24</v>
      </c>
      <c r="H11" s="98"/>
      <c r="I11" s="98">
        <v>167.43</v>
      </c>
      <c r="J11" s="98">
        <v>40686.68</v>
      </c>
      <c r="K11" s="98">
        <v>122.06</v>
      </c>
      <c r="L11" s="98">
        <v>60.03</v>
      </c>
      <c r="M11" s="98"/>
      <c r="N11" s="98">
        <v>863.65</v>
      </c>
      <c r="O11" s="98">
        <v>38384.35</v>
      </c>
      <c r="P11" s="98">
        <v>11491.34</v>
      </c>
      <c r="Q11" s="98">
        <v>0</v>
      </c>
      <c r="R11" s="98" t="s">
        <v>6</v>
      </c>
    </row>
    <row r="12" spans="3:18" s="56" customFormat="1" ht="25.2" customHeight="1" x14ac:dyDescent="0.3">
      <c r="C12" s="56" t="s">
        <v>274</v>
      </c>
      <c r="D12" s="98">
        <v>25089.88</v>
      </c>
      <c r="E12" s="262"/>
      <c r="F12" s="98">
        <v>100364.79</v>
      </c>
      <c r="G12" s="98">
        <v>6021.89</v>
      </c>
      <c r="H12" s="98"/>
      <c r="I12" s="98">
        <v>163.16999999999999</v>
      </c>
      <c r="J12" s="98">
        <v>97550.89</v>
      </c>
      <c r="K12" s="98">
        <v>292.64999999999998</v>
      </c>
      <c r="L12" s="98">
        <v>0</v>
      </c>
      <c r="M12" s="98"/>
      <c r="N12" s="98">
        <v>990.6</v>
      </c>
      <c r="O12" s="98">
        <v>44026.77</v>
      </c>
      <c r="P12" s="98">
        <v>12998.17</v>
      </c>
      <c r="Q12" s="98">
        <v>91604.15</v>
      </c>
      <c r="R12" s="98">
        <v>3206.15</v>
      </c>
    </row>
    <row r="13" spans="3:18" s="56" customFormat="1" ht="25.2" customHeight="1" x14ac:dyDescent="0.3">
      <c r="C13" s="56" t="s">
        <v>275</v>
      </c>
      <c r="D13" s="98">
        <v>18651.82</v>
      </c>
      <c r="E13" s="232"/>
      <c r="F13" s="98">
        <v>95279.71</v>
      </c>
      <c r="G13" s="98">
        <v>5716.78</v>
      </c>
      <c r="H13" s="98"/>
      <c r="I13" s="98">
        <v>154.03</v>
      </c>
      <c r="J13" s="98">
        <v>91479.32</v>
      </c>
      <c r="K13" s="98">
        <v>274.44</v>
      </c>
      <c r="L13" s="98">
        <v>140.07</v>
      </c>
      <c r="M13" s="98">
        <v>1719.48</v>
      </c>
      <c r="N13" s="98">
        <v>1630.38</v>
      </c>
      <c r="O13" s="98">
        <v>72461.539999999994</v>
      </c>
      <c r="P13" s="98">
        <v>12998.17</v>
      </c>
      <c r="Q13" s="98">
        <v>144893.34</v>
      </c>
      <c r="R13" s="98">
        <v>5071.2700000000004</v>
      </c>
    </row>
    <row r="14" spans="3:18" s="56" customFormat="1" ht="25.2" customHeight="1" x14ac:dyDescent="0.3">
      <c r="C14" s="56" t="s">
        <v>276</v>
      </c>
      <c r="D14" s="98">
        <v>18509.82</v>
      </c>
      <c r="E14" s="231">
        <v>12170.44</v>
      </c>
      <c r="F14" s="98">
        <v>108307.34</v>
      </c>
      <c r="G14" s="98">
        <v>6498.44</v>
      </c>
      <c r="H14" s="98"/>
      <c r="I14" s="98">
        <v>158.43</v>
      </c>
      <c r="J14" s="98">
        <v>76281.41</v>
      </c>
      <c r="K14" s="98">
        <v>228.84</v>
      </c>
      <c r="L14" s="98">
        <v>247.63</v>
      </c>
      <c r="M14" s="98">
        <v>17767.96</v>
      </c>
      <c r="N14" s="98">
        <v>1136.83</v>
      </c>
      <c r="O14" s="98">
        <v>50525.96</v>
      </c>
      <c r="P14" s="98">
        <v>12998.17</v>
      </c>
      <c r="Q14" s="98">
        <v>116363.47</v>
      </c>
      <c r="R14" s="98">
        <v>4072.72</v>
      </c>
    </row>
    <row r="15" spans="3:18" s="56" customFormat="1" ht="25.2" customHeight="1" x14ac:dyDescent="0.3">
      <c r="C15" s="56" t="s">
        <v>277</v>
      </c>
      <c r="D15" s="98">
        <v>7873.09</v>
      </c>
      <c r="E15" s="262"/>
      <c r="F15" s="98">
        <v>118111.06</v>
      </c>
      <c r="G15" s="98">
        <v>7086.66</v>
      </c>
      <c r="H15" s="98"/>
      <c r="I15" s="98">
        <v>154.43</v>
      </c>
      <c r="J15" s="98">
        <v>79536.11</v>
      </c>
      <c r="K15" s="98">
        <v>238.61</v>
      </c>
      <c r="L15" s="98">
        <v>862.94</v>
      </c>
      <c r="M15" s="98">
        <v>17767.96</v>
      </c>
      <c r="N15" s="98">
        <v>1102.0999999999999</v>
      </c>
      <c r="O15" s="98">
        <v>48982.44</v>
      </c>
      <c r="P15" s="98">
        <v>12998.17</v>
      </c>
      <c r="Q15" s="98">
        <v>123679.51</v>
      </c>
      <c r="R15" s="98">
        <v>4328.78</v>
      </c>
    </row>
    <row r="16" spans="3:18" s="56" customFormat="1" ht="25.2" customHeight="1" x14ac:dyDescent="0.3">
      <c r="C16" s="56" t="s">
        <v>278</v>
      </c>
      <c r="D16" s="98">
        <v>18939.22</v>
      </c>
      <c r="E16" s="262"/>
      <c r="F16" s="98">
        <v>94180.47</v>
      </c>
      <c r="G16" s="98">
        <v>5650.83</v>
      </c>
      <c r="H16" s="98"/>
      <c r="I16" s="98">
        <v>159.29</v>
      </c>
      <c r="J16" s="98">
        <v>72395.429999999993</v>
      </c>
      <c r="K16" s="98">
        <v>217.19</v>
      </c>
      <c r="L16" s="98">
        <v>336.42</v>
      </c>
      <c r="M16" s="98">
        <v>14329</v>
      </c>
      <c r="N16" s="98">
        <v>972.98</v>
      </c>
      <c r="O16" s="98">
        <v>43243.5</v>
      </c>
      <c r="P16" s="98">
        <v>12861.19</v>
      </c>
      <c r="Q16" s="98">
        <v>51081.11</v>
      </c>
      <c r="R16" s="98">
        <v>1787.84</v>
      </c>
    </row>
    <row r="17" spans="3:18" s="56" customFormat="1" ht="25.2" customHeight="1" x14ac:dyDescent="0.3">
      <c r="C17" s="56" t="s">
        <v>279</v>
      </c>
      <c r="D17" s="98">
        <v>25600.18</v>
      </c>
      <c r="E17" s="262"/>
      <c r="F17" s="98">
        <v>95870.69</v>
      </c>
      <c r="G17" s="98">
        <v>5752.24</v>
      </c>
      <c r="H17" s="98"/>
      <c r="I17" s="98"/>
      <c r="J17" s="98">
        <v>60889.36</v>
      </c>
      <c r="K17" s="98">
        <v>182.67</v>
      </c>
      <c r="L17" s="98">
        <v>297.64999999999998</v>
      </c>
      <c r="M17" s="98"/>
      <c r="N17" s="98">
        <v>1125.94</v>
      </c>
      <c r="O17" s="98">
        <v>50041.760000000002</v>
      </c>
      <c r="P17" s="98">
        <v>15319.34</v>
      </c>
      <c r="Q17" s="98">
        <v>9845.2099999999991</v>
      </c>
      <c r="R17" s="98">
        <v>344.58</v>
      </c>
    </row>
    <row r="18" spans="3:18" s="56" customFormat="1" ht="25.2" customHeight="1" x14ac:dyDescent="0.3">
      <c r="C18" s="56" t="s">
        <v>280</v>
      </c>
      <c r="D18" s="98">
        <v>23875.91</v>
      </c>
      <c r="E18" s="262"/>
      <c r="F18" s="98"/>
      <c r="G18" s="98"/>
      <c r="H18" s="98"/>
      <c r="I18" s="98"/>
      <c r="J18" s="98">
        <v>46436.81</v>
      </c>
      <c r="K18" s="98">
        <v>139.31</v>
      </c>
      <c r="L18" s="98">
        <v>222.61</v>
      </c>
      <c r="M18" s="98"/>
      <c r="N18" s="98">
        <v>1070.98</v>
      </c>
      <c r="O18" s="98">
        <v>47599.02</v>
      </c>
      <c r="P18" s="98">
        <v>15319.34</v>
      </c>
      <c r="Q18" s="98">
        <v>25475.52</v>
      </c>
      <c r="R18" s="98">
        <v>891.64</v>
      </c>
    </row>
    <row r="19" spans="3:18" ht="30" customHeight="1" x14ac:dyDescent="0.3">
      <c r="C19" s="56" t="s">
        <v>281</v>
      </c>
      <c r="D19" s="98">
        <v>24400.27</v>
      </c>
      <c r="E19" s="232"/>
      <c r="F19" s="98"/>
      <c r="G19" s="98"/>
      <c r="H19" s="98"/>
      <c r="I19" s="85"/>
      <c r="J19" s="85">
        <v>32583.74</v>
      </c>
      <c r="K19" s="85">
        <v>97.75</v>
      </c>
      <c r="L19" s="98">
        <v>2993.78</v>
      </c>
      <c r="M19" s="98"/>
      <c r="N19" s="98">
        <v>1243.58</v>
      </c>
      <c r="O19" s="98">
        <v>55270.07</v>
      </c>
      <c r="P19" s="98">
        <v>15319.34</v>
      </c>
      <c r="Q19" s="98">
        <v>23526.84</v>
      </c>
      <c r="R19" s="98">
        <v>13547.02</v>
      </c>
    </row>
    <row r="20" spans="3:18" ht="24" customHeight="1" x14ac:dyDescent="0.3">
      <c r="D20" s="98">
        <f>SUM(D8:D19)</f>
        <v>209782.43</v>
      </c>
      <c r="E20" s="98">
        <f>SUM(E8:E19)</f>
        <v>17605.48</v>
      </c>
      <c r="F20" s="98">
        <f>SUM(F8:F19)</f>
        <v>911160.72</v>
      </c>
      <c r="G20" s="98">
        <f>SUM(G8:G19)</f>
        <v>54669.65</v>
      </c>
      <c r="H20" s="98"/>
      <c r="I20" s="85">
        <f>SUM(I8:I19)</f>
        <v>1482.48</v>
      </c>
      <c r="J20" s="85">
        <f>SUM(J8:J19)</f>
        <v>784171.81999999983</v>
      </c>
      <c r="K20" s="85">
        <f>SUM(K8:K19)</f>
        <v>2352.9</v>
      </c>
      <c r="L20" s="98">
        <f>SUM(L10:L19)</f>
        <v>5161.130000000001</v>
      </c>
      <c r="M20" s="98">
        <f>SUM(M13:M19)</f>
        <v>51584.399999999994</v>
      </c>
      <c r="N20" s="98">
        <f>SUM(N8:N19)</f>
        <v>12624.26</v>
      </c>
      <c r="O20" s="98">
        <f>SUM(O8:O19)</f>
        <v>561078.38</v>
      </c>
      <c r="P20" s="98">
        <f>SUM(P8:P19)</f>
        <v>154334.25999999998</v>
      </c>
      <c r="Q20" s="98">
        <f>SUM(Q8:Q19)</f>
        <v>586469.14999999991</v>
      </c>
      <c r="R20" s="98">
        <f>SUM(R8:R19)</f>
        <v>33250</v>
      </c>
    </row>
    <row r="23" spans="3:18" x14ac:dyDescent="0.3">
      <c r="O23">
        <v>38</v>
      </c>
    </row>
  </sheetData>
  <mergeCells count="2">
    <mergeCell ref="E8:E13"/>
    <mergeCell ref="E14:E19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Hoja1!_Hlk162271255</vt:lpstr>
      <vt:lpstr>Hoja1!Área_de_impresión</vt:lpstr>
    </vt:vector>
  </TitlesOfParts>
  <Company>Autoridad Portuaria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Gomez Alemañ</dc:creator>
  <cp:lastModifiedBy>Myriam Gómez Alemañ</cp:lastModifiedBy>
  <cp:lastPrinted>2025-01-24T13:14:41Z</cp:lastPrinted>
  <dcterms:created xsi:type="dcterms:W3CDTF">2016-05-16T09:41:33Z</dcterms:created>
  <dcterms:modified xsi:type="dcterms:W3CDTF">2025-01-27T11:42:31Z</dcterms:modified>
</cp:coreProperties>
</file>